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hd.alfarsi\Desktop\Systems Documents\opendata\"/>
    </mc:Choice>
  </mc:AlternateContent>
  <bookViews>
    <workbookView xWindow="0" yWindow="0" windowWidth="19200" windowHeight="6950"/>
  </bookViews>
  <sheets>
    <sheet name="البيانات الوصفية " sheetId="3" r:id="rId1"/>
    <sheet name="المتغيرات" sheetId="4" r:id="rId2"/>
    <sheet name="Insurance Financials Search Rep" sheetId="2" r:id="rId3"/>
  </sheets>
  <calcPr calcId="162913"/>
</workbook>
</file>

<file path=xl/calcChain.xml><?xml version="1.0" encoding="utf-8"?>
<calcChain xmlns="http://schemas.openxmlformats.org/spreadsheetml/2006/main">
  <c r="I260" i="2" l="1"/>
  <c r="H260" i="2"/>
  <c r="G260" i="2"/>
  <c r="F260" i="2"/>
  <c r="E260" i="2"/>
  <c r="D260" i="2"/>
  <c r="C260" i="2"/>
  <c r="B260" i="2"/>
  <c r="I259" i="2"/>
  <c r="H259" i="2"/>
  <c r="G259" i="2"/>
  <c r="F259" i="2"/>
  <c r="E259" i="2"/>
  <c r="D259" i="2"/>
  <c r="C259" i="2"/>
  <c r="B259" i="2"/>
  <c r="I258" i="2"/>
  <c r="H258" i="2"/>
  <c r="G258" i="2"/>
  <c r="F258" i="2"/>
  <c r="E258" i="2"/>
  <c r="D258" i="2"/>
  <c r="C258" i="2"/>
  <c r="B258" i="2"/>
  <c r="I257" i="2"/>
  <c r="H257" i="2"/>
  <c r="G257" i="2"/>
  <c r="F257" i="2"/>
  <c r="E257" i="2"/>
  <c r="D257" i="2"/>
  <c r="C257" i="2"/>
  <c r="B257" i="2"/>
  <c r="I256" i="2"/>
  <c r="H256" i="2"/>
  <c r="G256" i="2"/>
  <c r="F256" i="2"/>
  <c r="E256" i="2"/>
  <c r="D256" i="2"/>
  <c r="C256" i="2"/>
  <c r="B256" i="2"/>
  <c r="I255" i="2"/>
  <c r="H255" i="2"/>
  <c r="G255" i="2"/>
  <c r="F255" i="2"/>
  <c r="E255" i="2"/>
  <c r="D255" i="2"/>
  <c r="C255" i="2"/>
  <c r="B255" i="2"/>
  <c r="I254" i="2"/>
  <c r="H254" i="2"/>
  <c r="G254" i="2"/>
  <c r="F254" i="2"/>
  <c r="E254" i="2"/>
  <c r="D254" i="2"/>
  <c r="C254" i="2"/>
  <c r="B254" i="2"/>
  <c r="I253" i="2"/>
  <c r="H253" i="2"/>
  <c r="G253" i="2"/>
  <c r="F253" i="2"/>
  <c r="E253" i="2"/>
  <c r="D253" i="2"/>
  <c r="C253" i="2"/>
  <c r="B253" i="2"/>
  <c r="I252" i="2"/>
  <c r="H252" i="2"/>
  <c r="G252" i="2"/>
  <c r="F252" i="2"/>
  <c r="E252" i="2"/>
  <c r="D252" i="2"/>
  <c r="C252" i="2"/>
  <c r="B252" i="2"/>
  <c r="I251" i="2"/>
  <c r="H251" i="2"/>
  <c r="G251" i="2"/>
  <c r="F251" i="2"/>
  <c r="E251" i="2"/>
  <c r="D251" i="2"/>
  <c r="C251" i="2"/>
  <c r="B251" i="2"/>
  <c r="I250" i="2"/>
  <c r="H250" i="2"/>
  <c r="G250" i="2"/>
  <c r="F250" i="2"/>
  <c r="E250" i="2"/>
  <c r="D250" i="2"/>
  <c r="C250" i="2"/>
  <c r="B250" i="2"/>
  <c r="I249" i="2"/>
  <c r="H249" i="2"/>
  <c r="G249" i="2"/>
  <c r="F249" i="2"/>
  <c r="E249" i="2"/>
  <c r="D249" i="2"/>
  <c r="C249" i="2"/>
  <c r="B249" i="2"/>
  <c r="I248" i="2"/>
  <c r="H248" i="2"/>
  <c r="G248" i="2"/>
  <c r="F248" i="2"/>
  <c r="E248" i="2"/>
  <c r="D248" i="2"/>
  <c r="C248" i="2"/>
  <c r="B248" i="2"/>
  <c r="I247" i="2"/>
  <c r="H247" i="2"/>
  <c r="G247" i="2"/>
  <c r="F247" i="2"/>
  <c r="E247" i="2"/>
  <c r="D247" i="2"/>
  <c r="C247" i="2"/>
  <c r="B247" i="2"/>
  <c r="I246" i="2"/>
  <c r="H246" i="2"/>
  <c r="G246" i="2"/>
  <c r="F246" i="2"/>
  <c r="E246" i="2"/>
  <c r="D246" i="2"/>
  <c r="C246" i="2"/>
  <c r="B246" i="2"/>
  <c r="I245" i="2"/>
  <c r="H245" i="2"/>
  <c r="G245" i="2"/>
  <c r="F245" i="2"/>
  <c r="E245" i="2"/>
  <c r="D245" i="2"/>
  <c r="C245" i="2"/>
  <c r="B245" i="2"/>
  <c r="I244" i="2"/>
  <c r="H244" i="2"/>
  <c r="G244" i="2"/>
  <c r="F244" i="2"/>
  <c r="E244" i="2"/>
  <c r="D244" i="2"/>
  <c r="C244" i="2"/>
  <c r="B244" i="2"/>
  <c r="I240" i="2"/>
  <c r="H240" i="2"/>
  <c r="G240" i="2"/>
  <c r="F240" i="2"/>
  <c r="E240" i="2"/>
  <c r="D240" i="2"/>
  <c r="C240" i="2"/>
  <c r="B240" i="2"/>
  <c r="I239" i="2"/>
  <c r="H239" i="2"/>
  <c r="G239" i="2"/>
  <c r="F239" i="2"/>
  <c r="E239" i="2"/>
  <c r="D239" i="2"/>
  <c r="C239" i="2"/>
  <c r="B239" i="2"/>
  <c r="I238" i="2"/>
  <c r="H238" i="2"/>
  <c r="G238" i="2"/>
  <c r="F238" i="2"/>
  <c r="E238" i="2"/>
  <c r="D238" i="2"/>
  <c r="C238" i="2"/>
  <c r="B238" i="2"/>
  <c r="I237" i="2"/>
  <c r="H237" i="2"/>
  <c r="G237" i="2"/>
  <c r="F237" i="2"/>
  <c r="E237" i="2"/>
  <c r="D237" i="2"/>
  <c r="C237" i="2"/>
  <c r="B237" i="2"/>
  <c r="I236" i="2"/>
  <c r="H236" i="2"/>
  <c r="G236" i="2"/>
  <c r="F236" i="2"/>
  <c r="E236" i="2"/>
  <c r="D236" i="2"/>
  <c r="C236" i="2"/>
  <c r="B236" i="2"/>
  <c r="I235" i="2"/>
  <c r="H235" i="2"/>
  <c r="G235" i="2"/>
  <c r="F235" i="2"/>
  <c r="E235" i="2"/>
  <c r="D235" i="2"/>
  <c r="C235" i="2"/>
  <c r="B235" i="2"/>
  <c r="I234" i="2"/>
  <c r="H234" i="2"/>
  <c r="G234" i="2"/>
  <c r="F234" i="2"/>
  <c r="E234" i="2"/>
  <c r="D234" i="2"/>
  <c r="C234" i="2"/>
  <c r="B234" i="2"/>
  <c r="I233" i="2"/>
  <c r="H233" i="2"/>
  <c r="G233" i="2"/>
  <c r="F233" i="2"/>
  <c r="E233" i="2"/>
  <c r="D233" i="2"/>
  <c r="C233" i="2"/>
  <c r="B233" i="2"/>
  <c r="I232" i="2"/>
  <c r="H232" i="2"/>
  <c r="G232" i="2"/>
  <c r="F232" i="2"/>
  <c r="E232" i="2"/>
  <c r="D232" i="2"/>
  <c r="C232" i="2"/>
  <c r="B232" i="2"/>
  <c r="I231" i="2"/>
  <c r="H231" i="2"/>
  <c r="G231" i="2"/>
  <c r="F231" i="2"/>
  <c r="E231" i="2"/>
  <c r="D231" i="2"/>
  <c r="C231" i="2"/>
  <c r="B231" i="2"/>
  <c r="I230" i="2"/>
  <c r="H230" i="2"/>
  <c r="G230" i="2"/>
  <c r="F230" i="2"/>
  <c r="E230" i="2"/>
  <c r="D230" i="2"/>
  <c r="C230" i="2"/>
  <c r="B230" i="2"/>
  <c r="I229" i="2"/>
  <c r="H229" i="2"/>
  <c r="G229" i="2"/>
  <c r="F229" i="2"/>
  <c r="E229" i="2"/>
  <c r="D229" i="2"/>
  <c r="C229" i="2"/>
  <c r="B229" i="2"/>
  <c r="I228" i="2"/>
  <c r="H228" i="2"/>
  <c r="G228" i="2"/>
  <c r="F228" i="2"/>
  <c r="E228" i="2"/>
  <c r="D228" i="2"/>
  <c r="C228" i="2"/>
  <c r="B228" i="2"/>
  <c r="I227" i="2"/>
  <c r="H227" i="2"/>
  <c r="G227" i="2"/>
  <c r="F227" i="2"/>
  <c r="E227" i="2"/>
  <c r="D227" i="2"/>
  <c r="C227" i="2"/>
  <c r="B227" i="2"/>
  <c r="I226" i="2"/>
  <c r="H226" i="2"/>
  <c r="G226" i="2"/>
  <c r="F226" i="2"/>
  <c r="E226" i="2"/>
  <c r="D226" i="2"/>
  <c r="C226" i="2"/>
  <c r="B226" i="2"/>
  <c r="I225" i="2"/>
  <c r="H225" i="2"/>
  <c r="G225" i="2"/>
  <c r="F225" i="2"/>
  <c r="E225" i="2"/>
  <c r="D225" i="2"/>
  <c r="C225" i="2"/>
  <c r="B225" i="2"/>
  <c r="I224" i="2"/>
  <c r="H224" i="2"/>
  <c r="G224" i="2"/>
  <c r="F224" i="2"/>
  <c r="E224" i="2"/>
  <c r="D224" i="2"/>
  <c r="C224" i="2"/>
  <c r="B224" i="2"/>
  <c r="I220" i="2"/>
  <c r="H220" i="2"/>
  <c r="G220" i="2"/>
  <c r="F220" i="2"/>
  <c r="E220" i="2"/>
  <c r="D220" i="2"/>
  <c r="C220" i="2"/>
  <c r="B220" i="2"/>
  <c r="I219" i="2"/>
  <c r="H219" i="2"/>
  <c r="G219" i="2"/>
  <c r="F219" i="2"/>
  <c r="E219" i="2"/>
  <c r="D219" i="2"/>
  <c r="C219" i="2"/>
  <c r="B219" i="2"/>
  <c r="I218" i="2"/>
  <c r="H218" i="2"/>
  <c r="G218" i="2"/>
  <c r="F218" i="2"/>
  <c r="E218" i="2"/>
  <c r="D218" i="2"/>
  <c r="C218" i="2"/>
  <c r="B218" i="2"/>
  <c r="I217" i="2"/>
  <c r="H217" i="2"/>
  <c r="G217" i="2"/>
  <c r="F217" i="2"/>
  <c r="E217" i="2"/>
  <c r="D217" i="2"/>
  <c r="C217" i="2"/>
  <c r="B217" i="2"/>
  <c r="I216" i="2"/>
  <c r="H216" i="2"/>
  <c r="G216" i="2"/>
  <c r="F216" i="2"/>
  <c r="E216" i="2"/>
  <c r="D216" i="2"/>
  <c r="C216" i="2"/>
  <c r="B216" i="2"/>
  <c r="I215" i="2"/>
  <c r="H215" i="2"/>
  <c r="G215" i="2"/>
  <c r="F215" i="2"/>
  <c r="E215" i="2"/>
  <c r="D215" i="2"/>
  <c r="C215" i="2"/>
  <c r="B215" i="2"/>
  <c r="I214" i="2"/>
  <c r="H214" i="2"/>
  <c r="G214" i="2"/>
  <c r="F214" i="2"/>
  <c r="E214" i="2"/>
  <c r="D214" i="2"/>
  <c r="C214" i="2"/>
  <c r="B214" i="2"/>
  <c r="I213" i="2"/>
  <c r="H213" i="2"/>
  <c r="G213" i="2"/>
  <c r="F213" i="2"/>
  <c r="E213" i="2"/>
  <c r="D213" i="2"/>
  <c r="C213" i="2"/>
  <c r="B213" i="2"/>
  <c r="I212" i="2"/>
  <c r="H212" i="2"/>
  <c r="G212" i="2"/>
  <c r="F212" i="2"/>
  <c r="E212" i="2"/>
  <c r="D212" i="2"/>
  <c r="C212" i="2"/>
  <c r="B212" i="2"/>
  <c r="I211" i="2"/>
  <c r="H211" i="2"/>
  <c r="G211" i="2"/>
  <c r="F211" i="2"/>
  <c r="E211" i="2"/>
  <c r="D211" i="2"/>
  <c r="C211" i="2"/>
  <c r="B211" i="2"/>
  <c r="I210" i="2"/>
  <c r="H210" i="2"/>
  <c r="G210" i="2"/>
  <c r="F210" i="2"/>
  <c r="E210" i="2"/>
  <c r="D210" i="2"/>
  <c r="C210" i="2"/>
  <c r="B210" i="2"/>
  <c r="I209" i="2"/>
  <c r="H209" i="2"/>
  <c r="G209" i="2"/>
  <c r="F209" i="2"/>
  <c r="E209" i="2"/>
  <c r="D209" i="2"/>
  <c r="C209" i="2"/>
  <c r="B209" i="2"/>
  <c r="I208" i="2"/>
  <c r="H208" i="2"/>
  <c r="G208" i="2"/>
  <c r="F208" i="2"/>
  <c r="E208" i="2"/>
  <c r="D208" i="2"/>
  <c r="C208" i="2"/>
  <c r="B208" i="2"/>
  <c r="I207" i="2"/>
  <c r="H207" i="2"/>
  <c r="G207" i="2"/>
  <c r="F207" i="2"/>
  <c r="E207" i="2"/>
  <c r="D207" i="2"/>
  <c r="C207" i="2"/>
  <c r="B207" i="2"/>
  <c r="I206" i="2"/>
  <c r="H206" i="2"/>
  <c r="G206" i="2"/>
  <c r="F206" i="2"/>
  <c r="E206" i="2"/>
  <c r="D206" i="2"/>
  <c r="C206" i="2"/>
  <c r="B206" i="2"/>
  <c r="I205" i="2"/>
  <c r="H205" i="2"/>
  <c r="G205" i="2"/>
  <c r="F205" i="2"/>
  <c r="E205" i="2"/>
  <c r="D205" i="2"/>
  <c r="C205" i="2"/>
  <c r="B205" i="2"/>
  <c r="I204" i="2"/>
  <c r="H204" i="2"/>
  <c r="G204" i="2"/>
  <c r="F204" i="2"/>
  <c r="E204" i="2"/>
  <c r="D204" i="2"/>
  <c r="C204" i="2"/>
  <c r="B204" i="2"/>
  <c r="I200" i="2"/>
  <c r="H200" i="2"/>
  <c r="G200" i="2"/>
  <c r="F200" i="2"/>
  <c r="E200" i="2"/>
  <c r="D200" i="2"/>
  <c r="C200" i="2"/>
  <c r="B200" i="2"/>
  <c r="I199" i="2"/>
  <c r="H199" i="2"/>
  <c r="G199" i="2"/>
  <c r="F199" i="2"/>
  <c r="E199" i="2"/>
  <c r="D199" i="2"/>
  <c r="C199" i="2"/>
  <c r="B199" i="2"/>
  <c r="I198" i="2"/>
  <c r="H198" i="2"/>
  <c r="G198" i="2"/>
  <c r="F198" i="2"/>
  <c r="E198" i="2"/>
  <c r="D198" i="2"/>
  <c r="C198" i="2"/>
  <c r="B198" i="2"/>
  <c r="I197" i="2"/>
  <c r="H197" i="2"/>
  <c r="G197" i="2"/>
  <c r="F197" i="2"/>
  <c r="E197" i="2"/>
  <c r="D197" i="2"/>
  <c r="C197" i="2"/>
  <c r="B197" i="2"/>
  <c r="I196" i="2"/>
  <c r="H196" i="2"/>
  <c r="G196" i="2"/>
  <c r="F196" i="2"/>
  <c r="E196" i="2"/>
  <c r="D196" i="2"/>
  <c r="C196" i="2"/>
  <c r="B196" i="2"/>
  <c r="I195" i="2"/>
  <c r="H195" i="2"/>
  <c r="G195" i="2"/>
  <c r="F195" i="2"/>
  <c r="E195" i="2"/>
  <c r="D195" i="2"/>
  <c r="C195" i="2"/>
  <c r="B195" i="2"/>
  <c r="I194" i="2"/>
  <c r="H194" i="2"/>
  <c r="G194" i="2"/>
  <c r="F194" i="2"/>
  <c r="E194" i="2"/>
  <c r="D194" i="2"/>
  <c r="C194" i="2"/>
  <c r="B194" i="2"/>
  <c r="I193" i="2"/>
  <c r="H193" i="2"/>
  <c r="G193" i="2"/>
  <c r="F193" i="2"/>
  <c r="E193" i="2"/>
  <c r="D193" i="2"/>
  <c r="C193" i="2"/>
  <c r="B193" i="2"/>
  <c r="I192" i="2"/>
  <c r="H192" i="2"/>
  <c r="G192" i="2"/>
  <c r="F192" i="2"/>
  <c r="E192" i="2"/>
  <c r="D192" i="2"/>
  <c r="C192" i="2"/>
  <c r="B192" i="2"/>
  <c r="I191" i="2"/>
  <c r="H191" i="2"/>
  <c r="G191" i="2"/>
  <c r="F191" i="2"/>
  <c r="E191" i="2"/>
  <c r="D191" i="2"/>
  <c r="C191" i="2"/>
  <c r="B191" i="2"/>
  <c r="I190" i="2"/>
  <c r="H190" i="2"/>
  <c r="G190" i="2"/>
  <c r="F190" i="2"/>
  <c r="E190" i="2"/>
  <c r="D190" i="2"/>
  <c r="C190" i="2"/>
  <c r="B190" i="2"/>
  <c r="I189" i="2"/>
  <c r="H189" i="2"/>
  <c r="G189" i="2"/>
  <c r="F189" i="2"/>
  <c r="E189" i="2"/>
  <c r="D189" i="2"/>
  <c r="C189" i="2"/>
  <c r="B189" i="2"/>
  <c r="I188" i="2"/>
  <c r="H188" i="2"/>
  <c r="G188" i="2"/>
  <c r="F188" i="2"/>
  <c r="E188" i="2"/>
  <c r="D188" i="2"/>
  <c r="C188" i="2"/>
  <c r="B188" i="2"/>
  <c r="I187" i="2"/>
  <c r="H187" i="2"/>
  <c r="G187" i="2"/>
  <c r="F187" i="2"/>
  <c r="E187" i="2"/>
  <c r="D187" i="2"/>
  <c r="C187" i="2"/>
  <c r="B187" i="2"/>
  <c r="I186" i="2"/>
  <c r="H186" i="2"/>
  <c r="G186" i="2"/>
  <c r="F186" i="2"/>
  <c r="E186" i="2"/>
  <c r="D186" i="2"/>
  <c r="C186" i="2"/>
  <c r="B186" i="2"/>
  <c r="I185" i="2"/>
  <c r="H185" i="2"/>
  <c r="G185" i="2"/>
  <c r="F185" i="2"/>
  <c r="E185" i="2"/>
  <c r="D185" i="2"/>
  <c r="C185" i="2"/>
  <c r="B185" i="2"/>
  <c r="I184" i="2"/>
  <c r="H184" i="2"/>
  <c r="G184" i="2"/>
  <c r="F184" i="2"/>
  <c r="E184" i="2"/>
  <c r="D184" i="2"/>
  <c r="C184" i="2"/>
  <c r="B184" i="2"/>
  <c r="I180" i="2"/>
  <c r="H180" i="2"/>
  <c r="G180" i="2"/>
  <c r="F180" i="2"/>
  <c r="E180" i="2"/>
  <c r="D180" i="2"/>
  <c r="C180" i="2"/>
  <c r="B180" i="2"/>
  <c r="I179" i="2"/>
  <c r="H179" i="2"/>
  <c r="G179" i="2"/>
  <c r="F179" i="2"/>
  <c r="E179" i="2"/>
  <c r="D179" i="2"/>
  <c r="C179" i="2"/>
  <c r="B179" i="2"/>
  <c r="I178" i="2"/>
  <c r="H178" i="2"/>
  <c r="G178" i="2"/>
  <c r="F178" i="2"/>
  <c r="E178" i="2"/>
  <c r="D178" i="2"/>
  <c r="C178" i="2"/>
  <c r="B178" i="2"/>
  <c r="I177" i="2"/>
  <c r="H177" i="2"/>
  <c r="G177" i="2"/>
  <c r="F177" i="2"/>
  <c r="E177" i="2"/>
  <c r="D177" i="2"/>
  <c r="C177" i="2"/>
  <c r="B177" i="2"/>
  <c r="I176" i="2"/>
  <c r="H176" i="2"/>
  <c r="G176" i="2"/>
  <c r="F176" i="2"/>
  <c r="E176" i="2"/>
  <c r="D176" i="2"/>
  <c r="C176" i="2"/>
  <c r="B176" i="2"/>
  <c r="I175" i="2"/>
  <c r="H175" i="2"/>
  <c r="G175" i="2"/>
  <c r="F175" i="2"/>
  <c r="E175" i="2"/>
  <c r="D175" i="2"/>
  <c r="C175" i="2"/>
  <c r="B175" i="2"/>
  <c r="I174" i="2"/>
  <c r="H174" i="2"/>
  <c r="G174" i="2"/>
  <c r="F174" i="2"/>
  <c r="E174" i="2"/>
  <c r="D174" i="2"/>
  <c r="C174" i="2"/>
  <c r="B174" i="2"/>
  <c r="I173" i="2"/>
  <c r="H173" i="2"/>
  <c r="G173" i="2"/>
  <c r="F173" i="2"/>
  <c r="E173" i="2"/>
  <c r="D173" i="2"/>
  <c r="C173" i="2"/>
  <c r="B173" i="2"/>
  <c r="I172" i="2"/>
  <c r="H172" i="2"/>
  <c r="G172" i="2"/>
  <c r="F172" i="2"/>
  <c r="E172" i="2"/>
  <c r="D172" i="2"/>
  <c r="C172" i="2"/>
  <c r="B172" i="2"/>
  <c r="I171" i="2"/>
  <c r="H171" i="2"/>
  <c r="G171" i="2"/>
  <c r="F171" i="2"/>
  <c r="E171" i="2"/>
  <c r="D171" i="2"/>
  <c r="C171" i="2"/>
  <c r="B171" i="2"/>
  <c r="I170" i="2"/>
  <c r="H170" i="2"/>
  <c r="G170" i="2"/>
  <c r="F170" i="2"/>
  <c r="E170" i="2"/>
  <c r="D170" i="2"/>
  <c r="C170" i="2"/>
  <c r="B170" i="2"/>
  <c r="I169" i="2"/>
  <c r="H169" i="2"/>
  <c r="G169" i="2"/>
  <c r="F169" i="2"/>
  <c r="E169" i="2"/>
  <c r="D169" i="2"/>
  <c r="C169" i="2"/>
  <c r="B169" i="2"/>
  <c r="I168" i="2"/>
  <c r="H168" i="2"/>
  <c r="G168" i="2"/>
  <c r="F168" i="2"/>
  <c r="E168" i="2"/>
  <c r="D168" i="2"/>
  <c r="C168" i="2"/>
  <c r="B168" i="2"/>
  <c r="I167" i="2"/>
  <c r="H167" i="2"/>
  <c r="G167" i="2"/>
  <c r="F167" i="2"/>
  <c r="E167" i="2"/>
  <c r="D167" i="2"/>
  <c r="C167" i="2"/>
  <c r="B167" i="2"/>
  <c r="I166" i="2"/>
  <c r="H166" i="2"/>
  <c r="G166" i="2"/>
  <c r="F166" i="2"/>
  <c r="E166" i="2"/>
  <c r="D166" i="2"/>
  <c r="C166" i="2"/>
  <c r="B166" i="2"/>
  <c r="I165" i="2"/>
  <c r="H165" i="2"/>
  <c r="G165" i="2"/>
  <c r="F165" i="2"/>
  <c r="E165" i="2"/>
  <c r="D165" i="2"/>
  <c r="C165" i="2"/>
  <c r="B165" i="2"/>
  <c r="I164" i="2"/>
  <c r="H164" i="2"/>
  <c r="G164" i="2"/>
  <c r="F164" i="2"/>
  <c r="E164" i="2"/>
  <c r="D164" i="2"/>
  <c r="C164" i="2"/>
  <c r="B164" i="2"/>
  <c r="I160" i="2"/>
  <c r="H160" i="2"/>
  <c r="G160" i="2"/>
  <c r="F160" i="2"/>
  <c r="E160" i="2"/>
  <c r="D160" i="2"/>
  <c r="C160" i="2"/>
  <c r="B160" i="2"/>
  <c r="I159" i="2"/>
  <c r="H159" i="2"/>
  <c r="G159" i="2"/>
  <c r="F159" i="2"/>
  <c r="E159" i="2"/>
  <c r="D159" i="2"/>
  <c r="C159" i="2"/>
  <c r="B159" i="2"/>
  <c r="I158" i="2"/>
  <c r="H158" i="2"/>
  <c r="G158" i="2"/>
  <c r="F158" i="2"/>
  <c r="E158" i="2"/>
  <c r="D158" i="2"/>
  <c r="C158" i="2"/>
  <c r="B158" i="2"/>
  <c r="I157" i="2"/>
  <c r="H157" i="2"/>
  <c r="G157" i="2"/>
  <c r="F157" i="2"/>
  <c r="E157" i="2"/>
  <c r="D157" i="2"/>
  <c r="C157" i="2"/>
  <c r="B157" i="2"/>
  <c r="I156" i="2"/>
  <c r="H156" i="2"/>
  <c r="G156" i="2"/>
  <c r="F156" i="2"/>
  <c r="E156" i="2"/>
  <c r="D156" i="2"/>
  <c r="C156" i="2"/>
  <c r="B156" i="2"/>
  <c r="I155" i="2"/>
  <c r="H155" i="2"/>
  <c r="G155" i="2"/>
  <c r="F155" i="2"/>
  <c r="E155" i="2"/>
  <c r="D155" i="2"/>
  <c r="C155" i="2"/>
  <c r="B155" i="2"/>
  <c r="I154" i="2"/>
  <c r="H154" i="2"/>
  <c r="G154" i="2"/>
  <c r="F154" i="2"/>
  <c r="E154" i="2"/>
  <c r="D154" i="2"/>
  <c r="C154" i="2"/>
  <c r="B154" i="2"/>
  <c r="I153" i="2"/>
  <c r="H153" i="2"/>
  <c r="G153" i="2"/>
  <c r="F153" i="2"/>
  <c r="E153" i="2"/>
  <c r="D153" i="2"/>
  <c r="C153" i="2"/>
  <c r="B153" i="2"/>
  <c r="I152" i="2"/>
  <c r="H152" i="2"/>
  <c r="G152" i="2"/>
  <c r="F152" i="2"/>
  <c r="E152" i="2"/>
  <c r="D152" i="2"/>
  <c r="C152" i="2"/>
  <c r="B152" i="2"/>
  <c r="I151" i="2"/>
  <c r="H151" i="2"/>
  <c r="G151" i="2"/>
  <c r="F151" i="2"/>
  <c r="E151" i="2"/>
  <c r="D151" i="2"/>
  <c r="C151" i="2"/>
  <c r="B151" i="2"/>
  <c r="I150" i="2"/>
  <c r="H150" i="2"/>
  <c r="G150" i="2"/>
  <c r="F150" i="2"/>
  <c r="E150" i="2"/>
  <c r="D150" i="2"/>
  <c r="C150" i="2"/>
  <c r="B150" i="2"/>
  <c r="I149" i="2"/>
  <c r="H149" i="2"/>
  <c r="G149" i="2"/>
  <c r="F149" i="2"/>
  <c r="E149" i="2"/>
  <c r="D149" i="2"/>
  <c r="C149" i="2"/>
  <c r="B149" i="2"/>
  <c r="I148" i="2"/>
  <c r="H148" i="2"/>
  <c r="G148" i="2"/>
  <c r="F148" i="2"/>
  <c r="E148" i="2"/>
  <c r="D148" i="2"/>
  <c r="C148" i="2"/>
  <c r="B148" i="2"/>
  <c r="I147" i="2"/>
  <c r="H147" i="2"/>
  <c r="G147" i="2"/>
  <c r="F147" i="2"/>
  <c r="E147" i="2"/>
  <c r="D147" i="2"/>
  <c r="C147" i="2"/>
  <c r="B147" i="2"/>
  <c r="I146" i="2"/>
  <c r="H146" i="2"/>
  <c r="G146" i="2"/>
  <c r="F146" i="2"/>
  <c r="E146" i="2"/>
  <c r="D146" i="2"/>
  <c r="C146" i="2"/>
  <c r="B146" i="2"/>
  <c r="I145" i="2"/>
  <c r="H145" i="2"/>
  <c r="G145" i="2"/>
  <c r="F145" i="2"/>
  <c r="E145" i="2"/>
  <c r="D145" i="2"/>
  <c r="C145" i="2"/>
  <c r="B145" i="2"/>
  <c r="I144" i="2"/>
  <c r="H144" i="2"/>
  <c r="G144" i="2"/>
  <c r="F144" i="2"/>
  <c r="E144" i="2"/>
  <c r="D144" i="2"/>
  <c r="C144" i="2"/>
  <c r="B144" i="2"/>
  <c r="I140" i="2"/>
  <c r="H140" i="2"/>
  <c r="G140" i="2"/>
  <c r="F140" i="2"/>
  <c r="E140" i="2"/>
  <c r="D140" i="2"/>
  <c r="C140" i="2"/>
  <c r="B140" i="2"/>
  <c r="I139" i="2"/>
  <c r="H139" i="2"/>
  <c r="G139" i="2"/>
  <c r="F139" i="2"/>
  <c r="E139" i="2"/>
  <c r="D139" i="2"/>
  <c r="C139" i="2"/>
  <c r="B139" i="2"/>
  <c r="I138" i="2"/>
  <c r="H138" i="2"/>
  <c r="G138" i="2"/>
  <c r="F138" i="2"/>
  <c r="E138" i="2"/>
  <c r="D138" i="2"/>
  <c r="C138" i="2"/>
  <c r="B138" i="2"/>
  <c r="I137" i="2"/>
  <c r="H137" i="2"/>
  <c r="G137" i="2"/>
  <c r="F137" i="2"/>
  <c r="E137" i="2"/>
  <c r="D137" i="2"/>
  <c r="C137" i="2"/>
  <c r="B137" i="2"/>
  <c r="I136" i="2"/>
  <c r="H136" i="2"/>
  <c r="G136" i="2"/>
  <c r="F136" i="2"/>
  <c r="E136" i="2"/>
  <c r="D136" i="2"/>
  <c r="C136" i="2"/>
  <c r="B136" i="2"/>
  <c r="I135" i="2"/>
  <c r="H135" i="2"/>
  <c r="G135" i="2"/>
  <c r="F135" i="2"/>
  <c r="E135" i="2"/>
  <c r="D135" i="2"/>
  <c r="C135" i="2"/>
  <c r="B135" i="2"/>
  <c r="I134" i="2"/>
  <c r="H134" i="2"/>
  <c r="G134" i="2"/>
  <c r="F134" i="2"/>
  <c r="E134" i="2"/>
  <c r="D134" i="2"/>
  <c r="C134" i="2"/>
  <c r="B134" i="2"/>
  <c r="I133" i="2"/>
  <c r="H133" i="2"/>
  <c r="G133" i="2"/>
  <c r="F133" i="2"/>
  <c r="E133" i="2"/>
  <c r="D133" i="2"/>
  <c r="C133" i="2"/>
  <c r="B133" i="2"/>
  <c r="I132" i="2"/>
  <c r="H132" i="2"/>
  <c r="G132" i="2"/>
  <c r="F132" i="2"/>
  <c r="E132" i="2"/>
  <c r="D132" i="2"/>
  <c r="C132" i="2"/>
  <c r="B132" i="2"/>
  <c r="I131" i="2"/>
  <c r="H131" i="2"/>
  <c r="G131" i="2"/>
  <c r="F131" i="2"/>
  <c r="E131" i="2"/>
  <c r="D131" i="2"/>
  <c r="C131" i="2"/>
  <c r="B131" i="2"/>
  <c r="I130" i="2"/>
  <c r="H130" i="2"/>
  <c r="G130" i="2"/>
  <c r="F130" i="2"/>
  <c r="E130" i="2"/>
  <c r="D130" i="2"/>
  <c r="C130" i="2"/>
  <c r="B130" i="2"/>
  <c r="I129" i="2"/>
  <c r="H129" i="2"/>
  <c r="G129" i="2"/>
  <c r="F129" i="2"/>
  <c r="E129" i="2"/>
  <c r="D129" i="2"/>
  <c r="C129" i="2"/>
  <c r="B129" i="2"/>
  <c r="I128" i="2"/>
  <c r="H128" i="2"/>
  <c r="G128" i="2"/>
  <c r="F128" i="2"/>
  <c r="E128" i="2"/>
  <c r="D128" i="2"/>
  <c r="C128" i="2"/>
  <c r="B128" i="2"/>
  <c r="I127" i="2"/>
  <c r="H127" i="2"/>
  <c r="G127" i="2"/>
  <c r="F127" i="2"/>
  <c r="E127" i="2"/>
  <c r="D127" i="2"/>
  <c r="C127" i="2"/>
  <c r="B127" i="2"/>
  <c r="I126" i="2"/>
  <c r="H126" i="2"/>
  <c r="G126" i="2"/>
  <c r="F126" i="2"/>
  <c r="E126" i="2"/>
  <c r="D126" i="2"/>
  <c r="C126" i="2"/>
  <c r="B126" i="2"/>
  <c r="I125" i="2"/>
  <c r="H125" i="2"/>
  <c r="G125" i="2"/>
  <c r="F125" i="2"/>
  <c r="E125" i="2"/>
  <c r="D125" i="2"/>
  <c r="C125" i="2"/>
  <c r="B125" i="2"/>
  <c r="I124" i="2"/>
  <c r="H124" i="2"/>
  <c r="G124" i="2"/>
  <c r="F124" i="2"/>
  <c r="E124" i="2"/>
  <c r="D124" i="2"/>
  <c r="C124" i="2"/>
  <c r="B124" i="2"/>
  <c r="I120" i="2"/>
  <c r="H120" i="2"/>
  <c r="G120" i="2"/>
  <c r="F120" i="2"/>
  <c r="E120" i="2"/>
  <c r="D120" i="2"/>
  <c r="C120" i="2"/>
  <c r="B120" i="2"/>
  <c r="I119" i="2"/>
  <c r="H119" i="2"/>
  <c r="G119" i="2"/>
  <c r="F119" i="2"/>
  <c r="E119" i="2"/>
  <c r="D119" i="2"/>
  <c r="C119" i="2"/>
  <c r="B119" i="2"/>
  <c r="I118" i="2"/>
  <c r="H118" i="2"/>
  <c r="G118" i="2"/>
  <c r="F118" i="2"/>
  <c r="E118" i="2"/>
  <c r="D118" i="2"/>
  <c r="C118" i="2"/>
  <c r="B118" i="2"/>
  <c r="I117" i="2"/>
  <c r="H117" i="2"/>
  <c r="G117" i="2"/>
  <c r="F117" i="2"/>
  <c r="E117" i="2"/>
  <c r="D117" i="2"/>
  <c r="C117" i="2"/>
  <c r="B117" i="2"/>
  <c r="I116" i="2"/>
  <c r="H116" i="2"/>
  <c r="G116" i="2"/>
  <c r="F116" i="2"/>
  <c r="E116" i="2"/>
  <c r="D116" i="2"/>
  <c r="C116" i="2"/>
  <c r="B116" i="2"/>
  <c r="I115" i="2"/>
  <c r="H115" i="2"/>
  <c r="G115" i="2"/>
  <c r="F115" i="2"/>
  <c r="E115" i="2"/>
  <c r="D115" i="2"/>
  <c r="C115" i="2"/>
  <c r="B115" i="2"/>
  <c r="I114" i="2"/>
  <c r="H114" i="2"/>
  <c r="G114" i="2"/>
  <c r="F114" i="2"/>
  <c r="E114" i="2"/>
  <c r="D114" i="2"/>
  <c r="C114" i="2"/>
  <c r="B114" i="2"/>
  <c r="I113" i="2"/>
  <c r="H113" i="2"/>
  <c r="G113" i="2"/>
  <c r="F113" i="2"/>
  <c r="E113" i="2"/>
  <c r="D113" i="2"/>
  <c r="C113" i="2"/>
  <c r="B113" i="2"/>
  <c r="I112" i="2"/>
  <c r="H112" i="2"/>
  <c r="G112" i="2"/>
  <c r="F112" i="2"/>
  <c r="E112" i="2"/>
  <c r="D112" i="2"/>
  <c r="C112" i="2"/>
  <c r="B112" i="2"/>
  <c r="I111" i="2"/>
  <c r="H111" i="2"/>
  <c r="G111" i="2"/>
  <c r="F111" i="2"/>
  <c r="E111" i="2"/>
  <c r="D111" i="2"/>
  <c r="C111" i="2"/>
  <c r="B111" i="2"/>
  <c r="I110" i="2"/>
  <c r="H110" i="2"/>
  <c r="G110" i="2"/>
  <c r="F110" i="2"/>
  <c r="E110" i="2"/>
  <c r="D110" i="2"/>
  <c r="C110" i="2"/>
  <c r="B110" i="2"/>
  <c r="I109" i="2"/>
  <c r="H109" i="2"/>
  <c r="G109" i="2"/>
  <c r="F109" i="2"/>
  <c r="E109" i="2"/>
  <c r="D109" i="2"/>
  <c r="C109" i="2"/>
  <c r="B109" i="2"/>
  <c r="I108" i="2"/>
  <c r="H108" i="2"/>
  <c r="G108" i="2"/>
  <c r="F108" i="2"/>
  <c r="E108" i="2"/>
  <c r="D108" i="2"/>
  <c r="C108" i="2"/>
  <c r="B108" i="2"/>
  <c r="I107" i="2"/>
  <c r="H107" i="2"/>
  <c r="G107" i="2"/>
  <c r="F107" i="2"/>
  <c r="E107" i="2"/>
  <c r="D107" i="2"/>
  <c r="C107" i="2"/>
  <c r="B107" i="2"/>
  <c r="I106" i="2"/>
  <c r="H106" i="2"/>
  <c r="G106" i="2"/>
  <c r="F106" i="2"/>
  <c r="E106" i="2"/>
  <c r="D106" i="2"/>
  <c r="C106" i="2"/>
  <c r="B106" i="2"/>
  <c r="I105" i="2"/>
  <c r="H105" i="2"/>
  <c r="G105" i="2"/>
  <c r="F105" i="2"/>
  <c r="E105" i="2"/>
  <c r="D105" i="2"/>
  <c r="C105" i="2"/>
  <c r="B105" i="2"/>
  <c r="I104" i="2"/>
  <c r="H104" i="2"/>
  <c r="G104" i="2"/>
  <c r="F104" i="2"/>
  <c r="E104" i="2"/>
  <c r="D104" i="2"/>
  <c r="C104" i="2"/>
  <c r="B104" i="2"/>
  <c r="I100" i="2"/>
  <c r="H100" i="2"/>
  <c r="G100" i="2"/>
  <c r="F100" i="2"/>
  <c r="E100" i="2"/>
  <c r="D100" i="2"/>
  <c r="C100" i="2"/>
  <c r="B100" i="2"/>
  <c r="I99" i="2"/>
  <c r="H99" i="2"/>
  <c r="G99" i="2"/>
  <c r="F99" i="2"/>
  <c r="E99" i="2"/>
  <c r="D99" i="2"/>
  <c r="C99" i="2"/>
  <c r="B99" i="2"/>
  <c r="I98" i="2"/>
  <c r="H98" i="2"/>
  <c r="G98" i="2"/>
  <c r="F98" i="2"/>
  <c r="E98" i="2"/>
  <c r="D98" i="2"/>
  <c r="C98" i="2"/>
  <c r="B98" i="2"/>
  <c r="I97" i="2"/>
  <c r="H97" i="2"/>
  <c r="G97" i="2"/>
  <c r="F97" i="2"/>
  <c r="E97" i="2"/>
  <c r="D97" i="2"/>
  <c r="C97" i="2"/>
  <c r="B97" i="2"/>
  <c r="I96" i="2"/>
  <c r="H96" i="2"/>
  <c r="G96" i="2"/>
  <c r="F96" i="2"/>
  <c r="E96" i="2"/>
  <c r="D96" i="2"/>
  <c r="C96" i="2"/>
  <c r="B96" i="2"/>
  <c r="I95" i="2"/>
  <c r="H95" i="2"/>
  <c r="G95" i="2"/>
  <c r="F95" i="2"/>
  <c r="E95" i="2"/>
  <c r="D95" i="2"/>
  <c r="C95" i="2"/>
  <c r="B95" i="2"/>
  <c r="I94" i="2"/>
  <c r="H94" i="2"/>
  <c r="G94" i="2"/>
  <c r="F94" i="2"/>
  <c r="E94" i="2"/>
  <c r="D94" i="2"/>
  <c r="C94" i="2"/>
  <c r="B94" i="2"/>
  <c r="I93" i="2"/>
  <c r="H93" i="2"/>
  <c r="G93" i="2"/>
  <c r="F93" i="2"/>
  <c r="E93" i="2"/>
  <c r="D93" i="2"/>
  <c r="C93" i="2"/>
  <c r="B93" i="2"/>
  <c r="I92" i="2"/>
  <c r="H92" i="2"/>
  <c r="G92" i="2"/>
  <c r="F92" i="2"/>
  <c r="E92" i="2"/>
  <c r="D92" i="2"/>
  <c r="C92" i="2"/>
  <c r="B92" i="2"/>
  <c r="I91" i="2"/>
  <c r="H91" i="2"/>
  <c r="G91" i="2"/>
  <c r="F91" i="2"/>
  <c r="E91" i="2"/>
  <c r="D91" i="2"/>
  <c r="C91" i="2"/>
  <c r="B91" i="2"/>
  <c r="I90" i="2"/>
  <c r="H90" i="2"/>
  <c r="G90" i="2"/>
  <c r="F90" i="2"/>
  <c r="E90" i="2"/>
  <c r="D90" i="2"/>
  <c r="C90" i="2"/>
  <c r="B90" i="2"/>
  <c r="I89" i="2"/>
  <c r="H89" i="2"/>
  <c r="G89" i="2"/>
  <c r="F89" i="2"/>
  <c r="E89" i="2"/>
  <c r="D89" i="2"/>
  <c r="C89" i="2"/>
  <c r="B89" i="2"/>
  <c r="I88" i="2"/>
  <c r="H88" i="2"/>
  <c r="G88" i="2"/>
  <c r="F88" i="2"/>
  <c r="E88" i="2"/>
  <c r="D88" i="2"/>
  <c r="C88" i="2"/>
  <c r="B88" i="2"/>
  <c r="I87" i="2"/>
  <c r="H87" i="2"/>
  <c r="G87" i="2"/>
  <c r="F87" i="2"/>
  <c r="E87" i="2"/>
  <c r="D87" i="2"/>
  <c r="C87" i="2"/>
  <c r="B87" i="2"/>
  <c r="I86" i="2"/>
  <c r="H86" i="2"/>
  <c r="G86" i="2"/>
  <c r="F86" i="2"/>
  <c r="E86" i="2"/>
  <c r="D86" i="2"/>
  <c r="C86" i="2"/>
  <c r="B86" i="2"/>
  <c r="I85" i="2"/>
  <c r="H85" i="2"/>
  <c r="G85" i="2"/>
  <c r="F85" i="2"/>
  <c r="E85" i="2"/>
  <c r="D85" i="2"/>
  <c r="C85" i="2"/>
  <c r="B85" i="2"/>
  <c r="I84" i="2"/>
  <c r="H84" i="2"/>
  <c r="G84" i="2"/>
  <c r="F84" i="2"/>
  <c r="E84" i="2"/>
  <c r="D84" i="2"/>
  <c r="C84" i="2"/>
  <c r="B84" i="2"/>
  <c r="I80" i="2"/>
  <c r="H80" i="2"/>
  <c r="G80" i="2"/>
  <c r="F80" i="2"/>
  <c r="E80" i="2"/>
  <c r="D80" i="2"/>
  <c r="C80" i="2"/>
  <c r="B80" i="2"/>
  <c r="I79" i="2"/>
  <c r="H79" i="2"/>
  <c r="G79" i="2"/>
  <c r="F79" i="2"/>
  <c r="E79" i="2"/>
  <c r="D79" i="2"/>
  <c r="C79" i="2"/>
  <c r="B79" i="2"/>
  <c r="I78" i="2"/>
  <c r="H78" i="2"/>
  <c r="G78" i="2"/>
  <c r="F78" i="2"/>
  <c r="E78" i="2"/>
  <c r="D78" i="2"/>
  <c r="C78" i="2"/>
  <c r="B78" i="2"/>
  <c r="I77" i="2"/>
  <c r="H77" i="2"/>
  <c r="G77" i="2"/>
  <c r="F77" i="2"/>
  <c r="E77" i="2"/>
  <c r="D77" i="2"/>
  <c r="C77" i="2"/>
  <c r="B77" i="2"/>
  <c r="I76" i="2"/>
  <c r="H76" i="2"/>
  <c r="G76" i="2"/>
  <c r="F76" i="2"/>
  <c r="E76" i="2"/>
  <c r="D76" i="2"/>
  <c r="C76" i="2"/>
  <c r="B76" i="2"/>
  <c r="I75" i="2"/>
  <c r="H75" i="2"/>
  <c r="G75" i="2"/>
  <c r="F75" i="2"/>
  <c r="E75" i="2"/>
  <c r="D75" i="2"/>
  <c r="C75" i="2"/>
  <c r="B75" i="2"/>
  <c r="I74" i="2"/>
  <c r="H74" i="2"/>
  <c r="G74" i="2"/>
  <c r="F74" i="2"/>
  <c r="E74" i="2"/>
  <c r="D74" i="2"/>
  <c r="C74" i="2"/>
  <c r="B74" i="2"/>
  <c r="I73" i="2"/>
  <c r="H73" i="2"/>
  <c r="G73" i="2"/>
  <c r="F73" i="2"/>
  <c r="E73" i="2"/>
  <c r="D73" i="2"/>
  <c r="C73" i="2"/>
  <c r="B73" i="2"/>
  <c r="I72" i="2"/>
  <c r="H72" i="2"/>
  <c r="G72" i="2"/>
  <c r="F72" i="2"/>
  <c r="E72" i="2"/>
  <c r="D72" i="2"/>
  <c r="C72" i="2"/>
  <c r="B72" i="2"/>
  <c r="I71" i="2"/>
  <c r="H71" i="2"/>
  <c r="G71" i="2"/>
  <c r="F71" i="2"/>
  <c r="E71" i="2"/>
  <c r="D71" i="2"/>
  <c r="C71" i="2"/>
  <c r="B71" i="2"/>
  <c r="I70" i="2"/>
  <c r="H70" i="2"/>
  <c r="G70" i="2"/>
  <c r="F70" i="2"/>
  <c r="E70" i="2"/>
  <c r="D70" i="2"/>
  <c r="C70" i="2"/>
  <c r="B70" i="2"/>
  <c r="I69" i="2"/>
  <c r="H69" i="2"/>
  <c r="G69" i="2"/>
  <c r="F69" i="2"/>
  <c r="E69" i="2"/>
  <c r="D69" i="2"/>
  <c r="C69" i="2"/>
  <c r="B69" i="2"/>
  <c r="I68" i="2"/>
  <c r="H68" i="2"/>
  <c r="G68" i="2"/>
  <c r="F68" i="2"/>
  <c r="E68" i="2"/>
  <c r="D68" i="2"/>
  <c r="C68" i="2"/>
  <c r="B68" i="2"/>
  <c r="I67" i="2"/>
  <c r="H67" i="2"/>
  <c r="G67" i="2"/>
  <c r="F67" i="2"/>
  <c r="E67" i="2"/>
  <c r="D67" i="2"/>
  <c r="C67" i="2"/>
  <c r="B67" i="2"/>
  <c r="I66" i="2"/>
  <c r="H66" i="2"/>
  <c r="G66" i="2"/>
  <c r="F66" i="2"/>
  <c r="E66" i="2"/>
  <c r="D66" i="2"/>
  <c r="C66" i="2"/>
  <c r="B66" i="2"/>
  <c r="I65" i="2"/>
  <c r="H65" i="2"/>
  <c r="G65" i="2"/>
  <c r="F65" i="2"/>
  <c r="E65" i="2"/>
  <c r="D65" i="2"/>
  <c r="C65" i="2"/>
  <c r="B65" i="2"/>
  <c r="I64" i="2"/>
  <c r="H64" i="2"/>
  <c r="G64" i="2"/>
  <c r="F64" i="2"/>
  <c r="E64" i="2"/>
  <c r="D64" i="2"/>
  <c r="C64" i="2"/>
  <c r="B64" i="2"/>
  <c r="I60" i="2"/>
  <c r="H60" i="2"/>
  <c r="G60" i="2"/>
  <c r="F60" i="2"/>
  <c r="E60" i="2"/>
  <c r="D60" i="2"/>
  <c r="C60" i="2"/>
  <c r="B60" i="2"/>
  <c r="I59" i="2"/>
  <c r="H59" i="2"/>
  <c r="G59" i="2"/>
  <c r="F59" i="2"/>
  <c r="E59" i="2"/>
  <c r="D59" i="2"/>
  <c r="C59" i="2"/>
  <c r="B59" i="2"/>
  <c r="I58" i="2"/>
  <c r="H58" i="2"/>
  <c r="G58" i="2"/>
  <c r="F58" i="2"/>
  <c r="E58" i="2"/>
  <c r="D58" i="2"/>
  <c r="C58" i="2"/>
  <c r="B58" i="2"/>
  <c r="I57" i="2"/>
  <c r="H57" i="2"/>
  <c r="G57" i="2"/>
  <c r="F57" i="2"/>
  <c r="E57" i="2"/>
  <c r="D57" i="2"/>
  <c r="C57" i="2"/>
  <c r="B57" i="2"/>
  <c r="I56" i="2"/>
  <c r="H56" i="2"/>
  <c r="G56" i="2"/>
  <c r="F56" i="2"/>
  <c r="E56" i="2"/>
  <c r="D56" i="2"/>
  <c r="C56" i="2"/>
  <c r="B56" i="2"/>
  <c r="I55" i="2"/>
  <c r="H55" i="2"/>
  <c r="G55" i="2"/>
  <c r="F55" i="2"/>
  <c r="E55" i="2"/>
  <c r="D55" i="2"/>
  <c r="C55" i="2"/>
  <c r="B55" i="2"/>
  <c r="I54" i="2"/>
  <c r="H54" i="2"/>
  <c r="G54" i="2"/>
  <c r="F54" i="2"/>
  <c r="E54" i="2"/>
  <c r="D54" i="2"/>
  <c r="C54" i="2"/>
  <c r="B54" i="2"/>
  <c r="I53" i="2"/>
  <c r="H53" i="2"/>
  <c r="G53" i="2"/>
  <c r="F53" i="2"/>
  <c r="E53" i="2"/>
  <c r="D53" i="2"/>
  <c r="C53" i="2"/>
  <c r="B53" i="2"/>
  <c r="I52" i="2"/>
  <c r="H52" i="2"/>
  <c r="G52" i="2"/>
  <c r="F52" i="2"/>
  <c r="E52" i="2"/>
  <c r="D52" i="2"/>
  <c r="C52" i="2"/>
  <c r="B52" i="2"/>
  <c r="I51" i="2"/>
  <c r="H51" i="2"/>
  <c r="G51" i="2"/>
  <c r="F51" i="2"/>
  <c r="E51" i="2"/>
  <c r="D51" i="2"/>
  <c r="C51" i="2"/>
  <c r="B51" i="2"/>
  <c r="I50" i="2"/>
  <c r="H50" i="2"/>
  <c r="G50" i="2"/>
  <c r="F50" i="2"/>
  <c r="E50" i="2"/>
  <c r="D50" i="2"/>
  <c r="C50" i="2"/>
  <c r="B50" i="2"/>
  <c r="I49" i="2"/>
  <c r="H49" i="2"/>
  <c r="G49" i="2"/>
  <c r="F49" i="2"/>
  <c r="E49" i="2"/>
  <c r="D49" i="2"/>
  <c r="C49" i="2"/>
  <c r="B49" i="2"/>
  <c r="I48" i="2"/>
  <c r="H48" i="2"/>
  <c r="G48" i="2"/>
  <c r="F48" i="2"/>
  <c r="E48" i="2"/>
  <c r="D48" i="2"/>
  <c r="C48" i="2"/>
  <c r="B48" i="2"/>
  <c r="I47" i="2"/>
  <c r="H47" i="2"/>
  <c r="G47" i="2"/>
  <c r="F47" i="2"/>
  <c r="E47" i="2"/>
  <c r="D47" i="2"/>
  <c r="C47" i="2"/>
  <c r="B47" i="2"/>
  <c r="I46" i="2"/>
  <c r="H46" i="2"/>
  <c r="G46" i="2"/>
  <c r="F46" i="2"/>
  <c r="E46" i="2"/>
  <c r="D46" i="2"/>
  <c r="C46" i="2"/>
  <c r="B46" i="2"/>
  <c r="I45" i="2"/>
  <c r="H45" i="2"/>
  <c r="G45" i="2"/>
  <c r="F45" i="2"/>
  <c r="E45" i="2"/>
  <c r="D45" i="2"/>
  <c r="C45" i="2"/>
  <c r="B45" i="2"/>
  <c r="I44" i="2"/>
  <c r="H44" i="2"/>
  <c r="G44" i="2"/>
  <c r="F44" i="2"/>
  <c r="E44" i="2"/>
  <c r="D44" i="2"/>
  <c r="C44" i="2"/>
  <c r="B44" i="2"/>
  <c r="I40" i="2"/>
  <c r="H40" i="2"/>
  <c r="G40" i="2"/>
  <c r="F40" i="2"/>
  <c r="E40" i="2"/>
  <c r="D40" i="2"/>
  <c r="C40" i="2"/>
  <c r="B40" i="2"/>
  <c r="I39" i="2"/>
  <c r="H39" i="2"/>
  <c r="G39" i="2"/>
  <c r="F39" i="2"/>
  <c r="E39" i="2"/>
  <c r="D39" i="2"/>
  <c r="C39" i="2"/>
  <c r="B39" i="2"/>
  <c r="I38" i="2"/>
  <c r="H38" i="2"/>
  <c r="G38" i="2"/>
  <c r="F38" i="2"/>
  <c r="E38" i="2"/>
  <c r="D38" i="2"/>
  <c r="C38" i="2"/>
  <c r="B38" i="2"/>
  <c r="I37" i="2"/>
  <c r="H37" i="2"/>
  <c r="G37" i="2"/>
  <c r="F37" i="2"/>
  <c r="E37" i="2"/>
  <c r="D37" i="2"/>
  <c r="C37" i="2"/>
  <c r="B37" i="2"/>
  <c r="I36" i="2"/>
  <c r="H36" i="2"/>
  <c r="G36" i="2"/>
  <c r="F36" i="2"/>
  <c r="E36" i="2"/>
  <c r="D36" i="2"/>
  <c r="C36" i="2"/>
  <c r="B36" i="2"/>
  <c r="I35" i="2"/>
  <c r="H35" i="2"/>
  <c r="G35" i="2"/>
  <c r="F35" i="2"/>
  <c r="E35" i="2"/>
  <c r="D35" i="2"/>
  <c r="C35" i="2"/>
  <c r="B35" i="2"/>
  <c r="I34" i="2"/>
  <c r="H34" i="2"/>
  <c r="G34" i="2"/>
  <c r="F34" i="2"/>
  <c r="E34" i="2"/>
  <c r="D34" i="2"/>
  <c r="C34" i="2"/>
  <c r="B34" i="2"/>
  <c r="I33" i="2"/>
  <c r="H33" i="2"/>
  <c r="G33" i="2"/>
  <c r="F33" i="2"/>
  <c r="E33" i="2"/>
  <c r="D33" i="2"/>
  <c r="C33" i="2"/>
  <c r="B33" i="2"/>
  <c r="I32" i="2"/>
  <c r="H32" i="2"/>
  <c r="G32" i="2"/>
  <c r="F32" i="2"/>
  <c r="E32" i="2"/>
  <c r="D32" i="2"/>
  <c r="C32" i="2"/>
  <c r="B32" i="2"/>
  <c r="I31" i="2"/>
  <c r="H31" i="2"/>
  <c r="G31" i="2"/>
  <c r="F31" i="2"/>
  <c r="E31" i="2"/>
  <c r="D31" i="2"/>
  <c r="C31" i="2"/>
  <c r="B31" i="2"/>
  <c r="I30" i="2"/>
  <c r="H30" i="2"/>
  <c r="G30" i="2"/>
  <c r="F30" i="2"/>
  <c r="E30" i="2"/>
  <c r="D30" i="2"/>
  <c r="C30" i="2"/>
  <c r="B30" i="2"/>
  <c r="I29" i="2"/>
  <c r="H29" i="2"/>
  <c r="G29" i="2"/>
  <c r="F29" i="2"/>
  <c r="E29" i="2"/>
  <c r="D29" i="2"/>
  <c r="C29" i="2"/>
  <c r="B29" i="2"/>
  <c r="I28" i="2"/>
  <c r="H28" i="2"/>
  <c r="G28" i="2"/>
  <c r="F28" i="2"/>
  <c r="E28" i="2"/>
  <c r="D28" i="2"/>
  <c r="C28" i="2"/>
  <c r="B28" i="2"/>
  <c r="I27" i="2"/>
  <c r="H27" i="2"/>
  <c r="G27" i="2"/>
  <c r="F27" i="2"/>
  <c r="E27" i="2"/>
  <c r="D27" i="2"/>
  <c r="C27" i="2"/>
  <c r="B27" i="2"/>
  <c r="I26" i="2"/>
  <c r="H26" i="2"/>
  <c r="G26" i="2"/>
  <c r="F26" i="2"/>
  <c r="E26" i="2"/>
  <c r="D26" i="2"/>
  <c r="C26" i="2"/>
  <c r="B26" i="2"/>
  <c r="I25" i="2"/>
  <c r="H25" i="2"/>
  <c r="G25" i="2"/>
  <c r="F25" i="2"/>
  <c r="E25" i="2"/>
  <c r="D25" i="2"/>
  <c r="C25" i="2"/>
  <c r="B25" i="2"/>
  <c r="I24" i="2"/>
  <c r="H24" i="2"/>
  <c r="G24" i="2"/>
  <c r="F24" i="2"/>
  <c r="E24" i="2"/>
  <c r="D24" i="2"/>
  <c r="C24" i="2"/>
  <c r="B24" i="2"/>
  <c r="I20" i="2"/>
  <c r="H20" i="2"/>
  <c r="G20" i="2"/>
  <c r="F20" i="2"/>
  <c r="E20" i="2"/>
  <c r="D20" i="2"/>
  <c r="C20" i="2"/>
  <c r="B20" i="2"/>
  <c r="I19" i="2"/>
  <c r="H19" i="2"/>
  <c r="G19" i="2"/>
  <c r="F19" i="2"/>
  <c r="E19" i="2"/>
  <c r="D19" i="2"/>
  <c r="C19" i="2"/>
  <c r="B19" i="2"/>
  <c r="I18" i="2"/>
  <c r="H18" i="2"/>
  <c r="G18" i="2"/>
  <c r="F18" i="2"/>
  <c r="E18" i="2"/>
  <c r="D18" i="2"/>
  <c r="C18" i="2"/>
  <c r="B18" i="2"/>
  <c r="I17" i="2"/>
  <c r="H17" i="2"/>
  <c r="G17" i="2"/>
  <c r="F17" i="2"/>
  <c r="E17" i="2"/>
  <c r="D17" i="2"/>
  <c r="C17" i="2"/>
  <c r="B17" i="2"/>
  <c r="I16" i="2"/>
  <c r="H16" i="2"/>
  <c r="G16" i="2"/>
  <c r="F16" i="2"/>
  <c r="E16" i="2"/>
  <c r="D16" i="2"/>
  <c r="C16" i="2"/>
  <c r="B16" i="2"/>
  <c r="I15" i="2"/>
  <c r="H15" i="2"/>
  <c r="G15" i="2"/>
  <c r="F15" i="2"/>
  <c r="E15" i="2"/>
  <c r="D15" i="2"/>
  <c r="C15" i="2"/>
  <c r="B15" i="2"/>
  <c r="I14" i="2"/>
  <c r="H14" i="2"/>
  <c r="G14" i="2"/>
  <c r="F14" i="2"/>
  <c r="E14" i="2"/>
  <c r="D14" i="2"/>
  <c r="C14" i="2"/>
  <c r="B14" i="2"/>
  <c r="I13" i="2"/>
  <c r="H13" i="2"/>
  <c r="G13" i="2"/>
  <c r="F13" i="2"/>
  <c r="E13" i="2"/>
  <c r="D13" i="2"/>
  <c r="C13" i="2"/>
  <c r="B13" i="2"/>
  <c r="I12" i="2"/>
  <c r="H12" i="2"/>
  <c r="G12" i="2"/>
  <c r="F12" i="2"/>
  <c r="E12" i="2"/>
  <c r="D12" i="2"/>
  <c r="C12" i="2"/>
  <c r="B12" i="2"/>
  <c r="I11" i="2"/>
  <c r="H11" i="2"/>
  <c r="G11" i="2"/>
  <c r="F11" i="2"/>
  <c r="E11" i="2"/>
  <c r="D11" i="2"/>
  <c r="C11" i="2"/>
  <c r="B11" i="2"/>
  <c r="I10" i="2"/>
  <c r="H10" i="2"/>
  <c r="G10" i="2"/>
  <c r="F10" i="2"/>
  <c r="E10" i="2"/>
  <c r="D10" i="2"/>
  <c r="C10" i="2"/>
  <c r="B10" i="2"/>
  <c r="I9" i="2"/>
  <c r="H9" i="2"/>
  <c r="G9" i="2"/>
  <c r="F9" i="2"/>
  <c r="E9" i="2"/>
  <c r="D9" i="2"/>
  <c r="C9" i="2"/>
  <c r="B9" i="2"/>
  <c r="I8" i="2"/>
  <c r="H8" i="2"/>
  <c r="G8" i="2"/>
  <c r="F8" i="2"/>
  <c r="E8" i="2"/>
  <c r="D8" i="2"/>
  <c r="C8" i="2"/>
  <c r="B8" i="2"/>
  <c r="I7" i="2"/>
  <c r="H7" i="2"/>
  <c r="G7" i="2"/>
  <c r="F7" i="2"/>
  <c r="E7" i="2"/>
  <c r="D7" i="2"/>
  <c r="C7" i="2"/>
  <c r="B7" i="2"/>
  <c r="I6" i="2"/>
  <c r="H6" i="2"/>
  <c r="G6" i="2"/>
  <c r="F6" i="2"/>
  <c r="E6" i="2"/>
  <c r="D6" i="2"/>
  <c r="C6" i="2"/>
  <c r="B6" i="2"/>
  <c r="I5" i="2"/>
  <c r="H5" i="2"/>
  <c r="G5" i="2"/>
  <c r="F5" i="2"/>
  <c r="E5" i="2"/>
  <c r="D5" i="2"/>
  <c r="C5" i="2"/>
  <c r="B5" i="2"/>
  <c r="I4" i="2"/>
  <c r="H4" i="2"/>
  <c r="G4" i="2"/>
  <c r="F4" i="2"/>
  <c r="E4" i="2"/>
  <c r="D4" i="2"/>
  <c r="C4" i="2"/>
  <c r="B4" i="2"/>
</calcChain>
</file>

<file path=xl/sharedStrings.xml><?xml version="1.0" encoding="utf-8"?>
<sst xmlns="http://schemas.openxmlformats.org/spreadsheetml/2006/main" count="423" uniqueCount="82">
  <si>
    <t>المصروفات الإدارية والعمومية (المجموع( التأمين العام والصحي والحياة))</t>
  </si>
  <si>
    <t>الشركة</t>
  </si>
  <si>
    <t>الأقساط المباشرة</t>
  </si>
  <si>
    <t>وارد محلي</t>
  </si>
  <si>
    <t>وارد من الخارج</t>
  </si>
  <si>
    <t>(أ) إجمالي الوارد</t>
  </si>
  <si>
    <t>صادر محلي</t>
  </si>
  <si>
    <t>صادر للخارج</t>
  </si>
  <si>
    <t>(ب) إجمالي الصادر</t>
  </si>
  <si>
    <t>( أ - ب ) الصافي</t>
  </si>
  <si>
    <t>  المدينة للتأمين</t>
  </si>
  <si>
    <t>  الشركة الأمريكية للتأمين على الحياة (متلايف)</t>
  </si>
  <si>
    <t>  الشركة العمانية المتحدة للتأمين</t>
  </si>
  <si>
    <t>  الشركة الهندية الجديدة للتأمين المحدودة</t>
  </si>
  <si>
    <t>  الشركة الوطنية للتأمين على الحياة والعام</t>
  </si>
  <si>
    <t>  العمانية القطرية للتأمين</t>
  </si>
  <si>
    <t>  تكافل عمان للتأمين</t>
  </si>
  <si>
    <t>  شركة التأمين الإيرانية</t>
  </si>
  <si>
    <t>  شركة التأمين العربية السعودية ش.م.ب(م)</t>
  </si>
  <si>
    <t>  شركة التأمين العربية فالكون</t>
  </si>
  <si>
    <t>  شركة أورينت للتأمين</t>
  </si>
  <si>
    <t>  شركة سيغنا الشرق الأوسط للتأمين ش.م.ل</t>
  </si>
  <si>
    <t>  شركة ظفار للتأمين</t>
  </si>
  <si>
    <t>  شركة عمان للتأمين ("سكون للتأمين")</t>
  </si>
  <si>
    <t>  شركة مسقط للتأمين (ش.م.ع.ع)</t>
  </si>
  <si>
    <t>  ليفا للتأمين</t>
  </si>
  <si>
    <t>  مجموعة الخليج للتأمين (الخليج) ش.م.ب (م)</t>
  </si>
  <si>
    <t>جدول رقم(103) : المصروفات الإدارية والعمومية (إجمالي التأمين العام)</t>
  </si>
  <si>
    <t>جدول رقم(104) : المصروفات الإدارية والعمومية (النقل)</t>
  </si>
  <si>
    <t>جدول رقم(105) : المصروفات الإدارية والعمومية (الممتلكات)</t>
  </si>
  <si>
    <t>جدول رقم(106) : المصروفات الإدارية والعمومية (المركبات الشامل)</t>
  </si>
  <si>
    <t>جدول رقم(107) : المصروفات الإدارية والعمومية (المركبات الطرف الثالث)</t>
  </si>
  <si>
    <t>جدول رقم(108) : المصروفات الإدارية والعمومية (المسؤولية)</t>
  </si>
  <si>
    <t>جدول رقم(109) : المصروفات الإدارية والعمومية (الهندسي)</t>
  </si>
  <si>
    <t>جدول رقم(110) : المصروفات الإدارية والعمومية (الصحي)</t>
  </si>
  <si>
    <t>جدول رقم(111) : المصروفات الإدارية والعمومية (الأخرى)</t>
  </si>
  <si>
    <t>جدول رقم(19) : المصروفات الإدارية والعمومية (إجمالي التأمين على الحياة)</t>
  </si>
  <si>
    <t>جدول رقم(20) : المصروفات الإدارية والعمومية (الحياة (أفراد))</t>
  </si>
  <si>
    <t>جدول رقم(21) : المصروفات الإدارية والعمومية (الحياة (مجموعة))</t>
  </si>
  <si>
    <t>إسم مجموعة البيانات</t>
  </si>
  <si>
    <t>وصف مجموعة البيانات</t>
  </si>
  <si>
    <t>يعرض أبرز المؤشرات الإحصائية المرتبطة بقطاع التأمين في سلطنة عمان مثل أقساط التأمين والتعويضات المدفوعة وعدد وثائق التأمين المصدرة وعدد العاملين ومعدلات الاحتفاظ ومعدلات الخسائر لمختلف فروع التأمين، إضافة إلى المؤشرات المالية لشركات التأمين وأدائها التشغيلي ابتداءً من عام 2003م.</t>
  </si>
  <si>
    <t>الفئة</t>
  </si>
  <si>
    <t>قطاع التأمين</t>
  </si>
  <si>
    <t>الدورية</t>
  </si>
  <si>
    <t>سنوي</t>
  </si>
  <si>
    <t>الكلمات المفتاحية</t>
  </si>
  <si>
    <t>التأمين التقليدي، التأمين التكافلي، الأقساط المباشرة، الأقساط المكتسبة، المطالبات، التعويضات، الوثائق، معدل الاحتفاظ، معدل الخسائر، المخصصات الفنية</t>
  </si>
  <si>
    <t>تاريخ النشر</t>
  </si>
  <si>
    <t>تاريخ التعديل</t>
  </si>
  <si>
    <t>آني</t>
  </si>
  <si>
    <t>اسم نقطة التواصل</t>
  </si>
  <si>
    <t>فريق البيانات المفتوحة</t>
  </si>
  <si>
    <t>رقم التواصل</t>
  </si>
  <si>
    <t>[24823162] , [24823277]</t>
  </si>
  <si>
    <t>البريد الإلكتروني</t>
  </si>
  <si>
    <t>digital@fsa.gov.om</t>
  </si>
  <si>
    <t>صيغة الملف</t>
  </si>
  <si>
    <t>XLSX, HTML, JSON</t>
  </si>
  <si>
    <t>الفترة المرجعية للبيانات</t>
  </si>
  <si>
    <t>2003-2022</t>
  </si>
  <si>
    <t>التغطية الجغرافية للبيانات</t>
  </si>
  <si>
    <t>شركات التأمين العاملة في سلطنة عمان</t>
  </si>
  <si>
    <t>مؤشرات اجمالية</t>
  </si>
  <si>
    <t>مؤشرات إجمالية لعام 2022م: إجمالي الأقساط المباشرة: 541.326 مليون ريال عماني إجمالي الأقساط المباشرة للتأمين التكافلي: 76.256 مليون ريال عماني إجمالي التعويضات المدفوعة 317.035 مليون ريال عماني عدد الوثائق المصدرة: 2,027,527 وثيقة</t>
  </si>
  <si>
    <t>المصدر</t>
  </si>
  <si>
    <t>دائرة التحليل المالي وإدارة المخاطر</t>
  </si>
  <si>
    <t>اللغة</t>
  </si>
  <si>
    <t>الانجليزية</t>
  </si>
  <si>
    <t>المصروفات الإدارية والعمومية</t>
  </si>
  <si>
    <t>م</t>
  </si>
  <si>
    <t>اسم المتغير</t>
  </si>
  <si>
    <t>وصف المتغير</t>
  </si>
  <si>
    <t>نوع البيانات</t>
  </si>
  <si>
    <t>مستوى الإلزامية(إجباري/ اختياري)</t>
  </si>
  <si>
    <t>اسم شركة التأمين</t>
  </si>
  <si>
    <t>نص</t>
  </si>
  <si>
    <t>إلزامي</t>
  </si>
  <si>
    <t>رقم</t>
  </si>
  <si>
    <t>إجمالي الوارد</t>
  </si>
  <si>
    <t>إجمالي الصادر</t>
  </si>
  <si>
    <t>الصافي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</si>
</sst>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Arial"/>
      <family val="2"/>
      <scheme val="minor"/>
    </font>
    <font>
      <sz val="11"/>
      <color theme="1"/>
      <name val="Arial"/>
      <family val="2"/>
      <scheme val="minor"/>
    </font>
    <font>
      <sz val="18"/>
      <color theme="3"/>
      <name val="Times New Roman"/>
      <family val="2"/>
      <scheme val="major"/>
    </font>
    <font>
      <b/>
      <sz val="15"/>
      <color theme="3"/>
      <name val="Arial"/>
      <family val="2"/>
      <scheme val="minor"/>
    </font>
    <font>
      <b/>
      <sz val="13"/>
      <color theme="3"/>
      <name val="Arial"/>
      <family val="2"/>
      <scheme val="minor"/>
    </font>
    <font>
      <b/>
      <sz val="11"/>
      <color theme="3"/>
      <name val="Arial"/>
      <family val="2"/>
      <scheme val="minor"/>
    </font>
    <font>
      <sz val="11"/>
      <color rgb="FF006100"/>
      <name val="Arial"/>
      <family val="2"/>
      <scheme val="minor"/>
    </font>
    <font>
      <sz val="11"/>
      <color rgb="FF9C0006"/>
      <name val="Arial"/>
      <family val="2"/>
      <scheme val="minor"/>
    </font>
    <font>
      <sz val="11"/>
      <color rgb="FF9C65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i/>
      <sz val="11"/>
      <color rgb="FF7F7F7F"/>
      <name val="Arial"/>
      <family val="2"/>
      <scheme val="minor"/>
    </font>
    <font>
      <b/>
      <sz val="11"/>
      <color theme="1"/>
      <name val="Arial"/>
      <family val="2"/>
      <scheme val="minor"/>
    </font>
    <font>
      <sz val="11"/>
      <color theme="0"/>
      <name val="Arial"/>
      <family val="2"/>
      <scheme val="minor"/>
    </font>
    <font>
      <sz val="10"/>
      <color theme="1"/>
      <name val="Arial"/>
      <family val="2"/>
      <scheme val="minor"/>
    </font>
    <font>
      <sz val="10"/>
      <color rgb="FFFFFFFF"/>
      <name val="Arial"/>
      <family val="2"/>
      <scheme val="minor"/>
    </font>
    <font>
      <b/>
      <sz val="10"/>
      <color rgb="FF000000"/>
      <name val="Arial"/>
      <family val="2"/>
      <scheme val="minor"/>
    </font>
    <font>
      <b/>
      <sz val="10"/>
      <color theme="1"/>
      <name val="Arial"/>
      <family val="2"/>
      <scheme val="minor"/>
    </font>
    <font>
      <sz val="14"/>
      <color theme="0"/>
      <name val="Arial"/>
      <family val="2"/>
      <scheme val="minor"/>
    </font>
    <font>
      <sz val="11"/>
      <color rgb="FF212529"/>
      <name val="Arial"/>
      <family val="2"/>
      <scheme val="minor"/>
    </font>
    <font>
      <b/>
      <sz val="12"/>
      <color rgb="FF000000"/>
      <name val="Arial"/>
      <family val="2"/>
      <scheme val="minor"/>
    </font>
    <font>
      <sz val="12"/>
      <color rgb="FF000000"/>
      <name val="Arial"/>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7AB7"/>
        <bgColor indexed="64"/>
      </patternFill>
    </fill>
    <fill>
      <patternFill patternType="solid">
        <fgColor rgb="FFD2D6DE"/>
        <bgColor indexed="64"/>
      </patternFill>
    </fill>
    <fill>
      <patternFill patternType="solid">
        <fgColor rgb="FFFFFFFF"/>
        <bgColor indexed="64"/>
      </patternFill>
    </fill>
    <fill>
      <patternFill patternType="solid">
        <fgColor rgb="FF4472C4"/>
        <bgColor rgb="FF000000"/>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rgb="FF6CA5DA"/>
      </left>
      <right style="medium">
        <color rgb="FF6CA5DA"/>
      </right>
      <top style="medium">
        <color rgb="FF6CA5DA"/>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
    <xf numFmtId="0" fontId="0" fillId="0" borderId="0" xfId="0"/>
    <xf numFmtId="0" fontId="20" fillId="34" borderId="0" xfId="0" applyFont="1" applyFill="1" applyAlignment="1">
      <alignment horizontal="center" vertical="center" wrapText="1"/>
    </xf>
    <xf numFmtId="0" fontId="21" fillId="0" borderId="0" xfId="0" applyFont="1" applyAlignment="1">
      <alignment horizontal="center" vertical="center" wrapText="1"/>
    </xf>
    <xf numFmtId="0" fontId="18" fillId="0" borderId="0" xfId="0" applyFont="1" applyAlignment="1">
      <alignment wrapText="1"/>
    </xf>
    <xf numFmtId="0" fontId="20" fillId="34" borderId="0" xfId="0" applyFont="1" applyFill="1" applyAlignment="1">
      <alignment horizontal="center" vertical="center" wrapText="1"/>
    </xf>
    <xf numFmtId="0" fontId="19" fillId="33" borderId="0" xfId="0" applyFont="1" applyFill="1" applyAlignment="1">
      <alignment horizontal="center" wrapText="1"/>
    </xf>
    <xf numFmtId="0" fontId="22" fillId="25" borderId="10" xfId="34" applyFont="1" applyBorder="1" applyAlignment="1">
      <alignment horizontal="center" vertical="center" wrapText="1"/>
    </xf>
    <xf numFmtId="0" fontId="23" fillId="35" borderId="11" xfId="0" applyFont="1" applyFill="1" applyBorder="1" applyAlignment="1">
      <alignment horizontal="right" vertical="center" wrapText="1"/>
    </xf>
    <xf numFmtId="14" fontId="23" fillId="35" borderId="11" xfId="0" applyNumberFormat="1" applyFont="1" applyFill="1" applyBorder="1" applyAlignment="1">
      <alignment horizontal="center" vertical="center" wrapText="1"/>
    </xf>
    <xf numFmtId="0" fontId="17" fillId="36" borderId="11" xfId="34" applyFill="1" applyBorder="1" applyAlignment="1">
      <alignment horizontal="center" vertical="center" wrapText="1" readingOrder="2"/>
    </xf>
    <xf numFmtId="0" fontId="24" fillId="0" borderId="12" xfId="0" applyFont="1" applyBorder="1" applyAlignment="1">
      <alignment horizontal="center" vertical="center" wrapText="1" readingOrder="2"/>
    </xf>
    <xf numFmtId="0" fontId="25" fillId="0" borderId="12" xfId="0" applyFont="1" applyBorder="1" applyAlignment="1">
      <alignment horizontal="center" vertical="center" wrapText="1" readingOrder="2"/>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rightToLeft="1" tabSelected="1" workbookViewId="0">
      <selection activeCell="A25" sqref="A25"/>
    </sheetView>
  </sheetViews>
  <sheetFormatPr defaultRowHeight="14" x14ac:dyDescent="0.3"/>
  <cols>
    <col min="1" max="1" width="40.1640625" customWidth="1"/>
    <col min="2" max="2" width="41.75" customWidth="1"/>
  </cols>
  <sheetData>
    <row r="1" spans="1:2" ht="17.5" x14ac:dyDescent="0.3">
      <c r="A1" s="6" t="s">
        <v>39</v>
      </c>
      <c r="B1" s="6" t="s">
        <v>69</v>
      </c>
    </row>
    <row r="2" spans="1:2" ht="70" x14ac:dyDescent="0.3">
      <c r="A2" s="7" t="s">
        <v>40</v>
      </c>
      <c r="B2" s="7" t="s">
        <v>41</v>
      </c>
    </row>
    <row r="3" spans="1:2" x14ac:dyDescent="0.3">
      <c r="A3" s="7" t="s">
        <v>42</v>
      </c>
      <c r="B3" s="7" t="s">
        <v>43</v>
      </c>
    </row>
    <row r="4" spans="1:2" x14ac:dyDescent="0.3">
      <c r="A4" s="7" t="s">
        <v>44</v>
      </c>
      <c r="B4" s="7" t="s">
        <v>45</v>
      </c>
    </row>
    <row r="5" spans="1:2" ht="42" x14ac:dyDescent="0.3">
      <c r="A5" s="7" t="s">
        <v>46</v>
      </c>
      <c r="B5" s="7" t="s">
        <v>47</v>
      </c>
    </row>
    <row r="6" spans="1:2" x14ac:dyDescent="0.3">
      <c r="A6" s="7" t="s">
        <v>48</v>
      </c>
      <c r="B6" s="8">
        <v>44568</v>
      </c>
    </row>
    <row r="7" spans="1:2" x14ac:dyDescent="0.3">
      <c r="A7" s="7" t="s">
        <v>49</v>
      </c>
      <c r="B7" s="7" t="s">
        <v>50</v>
      </c>
    </row>
    <row r="8" spans="1:2" x14ac:dyDescent="0.3">
      <c r="A8" s="7" t="s">
        <v>51</v>
      </c>
      <c r="B8" s="7" t="s">
        <v>52</v>
      </c>
    </row>
    <row r="9" spans="1:2" x14ac:dyDescent="0.3">
      <c r="A9" s="7" t="s">
        <v>53</v>
      </c>
      <c r="B9" s="7" t="s">
        <v>54</v>
      </c>
    </row>
    <row r="10" spans="1:2" x14ac:dyDescent="0.3">
      <c r="A10" s="7" t="s">
        <v>55</v>
      </c>
      <c r="B10" s="7" t="s">
        <v>56</v>
      </c>
    </row>
    <row r="11" spans="1:2" x14ac:dyDescent="0.3">
      <c r="A11" s="7" t="s">
        <v>57</v>
      </c>
      <c r="B11" s="7" t="s">
        <v>58</v>
      </c>
    </row>
    <row r="12" spans="1:2" x14ac:dyDescent="0.3">
      <c r="A12" s="7" t="s">
        <v>59</v>
      </c>
      <c r="B12" s="7" t="s">
        <v>60</v>
      </c>
    </row>
    <row r="13" spans="1:2" x14ac:dyDescent="0.3">
      <c r="A13" s="7" t="s">
        <v>61</v>
      </c>
      <c r="B13" s="7" t="s">
        <v>62</v>
      </c>
    </row>
    <row r="14" spans="1:2" ht="70" x14ac:dyDescent="0.3">
      <c r="A14" s="7" t="s">
        <v>63</v>
      </c>
      <c r="B14" s="7" t="s">
        <v>64</v>
      </c>
    </row>
    <row r="15" spans="1:2" x14ac:dyDescent="0.3">
      <c r="A15" s="7" t="s">
        <v>65</v>
      </c>
      <c r="B15" s="7" t="s">
        <v>66</v>
      </c>
    </row>
    <row r="16" spans="1:2" x14ac:dyDescent="0.3">
      <c r="A16" s="7" t="s">
        <v>67</v>
      </c>
      <c r="B16" s="7" t="s">
        <v>68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rightToLeft="1" workbookViewId="0">
      <selection activeCell="D20" sqref="D20"/>
    </sheetView>
  </sheetViews>
  <sheetFormatPr defaultRowHeight="14" x14ac:dyDescent="0.3"/>
  <cols>
    <col min="1" max="3" width="20.58203125" customWidth="1"/>
    <col min="4" max="4" width="22.4140625" customWidth="1"/>
    <col min="5" max="5" width="25.5" customWidth="1"/>
  </cols>
  <sheetData>
    <row r="1" spans="1:5" x14ac:dyDescent="0.3">
      <c r="A1" s="9" t="s">
        <v>70</v>
      </c>
      <c r="B1" s="9" t="s">
        <v>71</v>
      </c>
      <c r="C1" s="9" t="s">
        <v>72</v>
      </c>
      <c r="D1" s="9" t="s">
        <v>73</v>
      </c>
      <c r="E1" s="9" t="s">
        <v>74</v>
      </c>
    </row>
    <row r="2" spans="1:5" ht="15.5" x14ac:dyDescent="0.3">
      <c r="A2" s="10">
        <v>1</v>
      </c>
      <c r="B2" s="11" t="s">
        <v>1</v>
      </c>
      <c r="C2" s="11" t="s">
        <v>75</v>
      </c>
      <c r="D2" s="11" t="s">
        <v>76</v>
      </c>
      <c r="E2" s="11" t="s">
        <v>77</v>
      </c>
    </row>
    <row r="3" spans="1:5" ht="15.5" x14ac:dyDescent="0.3">
      <c r="A3" s="10">
        <v>2</v>
      </c>
      <c r="B3" s="11" t="s">
        <v>2</v>
      </c>
      <c r="C3" s="11" t="s">
        <v>2</v>
      </c>
      <c r="D3" s="11" t="s">
        <v>78</v>
      </c>
      <c r="E3" s="11" t="s">
        <v>77</v>
      </c>
    </row>
    <row r="4" spans="1:5" ht="15.5" x14ac:dyDescent="0.3">
      <c r="A4" s="10">
        <v>3</v>
      </c>
      <c r="B4" s="11" t="s">
        <v>3</v>
      </c>
      <c r="C4" s="11" t="s">
        <v>3</v>
      </c>
      <c r="D4" s="11" t="s">
        <v>78</v>
      </c>
      <c r="E4" s="11" t="s">
        <v>77</v>
      </c>
    </row>
    <row r="5" spans="1:5" ht="15.5" x14ac:dyDescent="0.3">
      <c r="A5" s="10">
        <v>4</v>
      </c>
      <c r="B5" s="11" t="s">
        <v>4</v>
      </c>
      <c r="C5" s="11" t="s">
        <v>4</v>
      </c>
      <c r="D5" s="11" t="s">
        <v>78</v>
      </c>
      <c r="E5" s="11" t="s">
        <v>77</v>
      </c>
    </row>
    <row r="6" spans="1:5" ht="15.5" x14ac:dyDescent="0.3">
      <c r="A6" s="10">
        <v>5</v>
      </c>
      <c r="B6" s="11" t="s">
        <v>79</v>
      </c>
      <c r="C6" s="11" t="s">
        <v>79</v>
      </c>
      <c r="D6" s="11" t="s">
        <v>78</v>
      </c>
      <c r="E6" s="11" t="s">
        <v>77</v>
      </c>
    </row>
    <row r="7" spans="1:5" ht="15.5" x14ac:dyDescent="0.3">
      <c r="A7" s="10">
        <v>6</v>
      </c>
      <c r="B7" s="11" t="s">
        <v>6</v>
      </c>
      <c r="C7" s="11" t="s">
        <v>6</v>
      </c>
      <c r="D7" s="11" t="s">
        <v>78</v>
      </c>
      <c r="E7" s="11" t="s">
        <v>77</v>
      </c>
    </row>
    <row r="8" spans="1:5" ht="15.5" x14ac:dyDescent="0.3">
      <c r="A8" s="10">
        <v>7</v>
      </c>
      <c r="B8" s="11" t="s">
        <v>7</v>
      </c>
      <c r="C8" s="11" t="s">
        <v>7</v>
      </c>
      <c r="D8" s="11" t="s">
        <v>78</v>
      </c>
      <c r="E8" s="11" t="s">
        <v>77</v>
      </c>
    </row>
    <row r="9" spans="1:5" ht="15.5" x14ac:dyDescent="0.3">
      <c r="A9" s="10">
        <v>8</v>
      </c>
      <c r="B9" s="11" t="s">
        <v>80</v>
      </c>
      <c r="C9" s="11" t="s">
        <v>80</v>
      </c>
      <c r="D9" s="11" t="s">
        <v>78</v>
      </c>
      <c r="E9" s="11" t="s">
        <v>77</v>
      </c>
    </row>
    <row r="10" spans="1:5" ht="15.5" x14ac:dyDescent="0.3">
      <c r="A10" s="10">
        <v>9</v>
      </c>
      <c r="B10" s="11" t="s">
        <v>81</v>
      </c>
      <c r="C10" s="11" t="s">
        <v>81</v>
      </c>
      <c r="D10" s="11" t="s">
        <v>78</v>
      </c>
      <c r="E10" s="11" t="s">
        <v>77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0"/>
  <sheetViews>
    <sheetView rightToLeft="1" workbookViewId="0">
      <selection sqref="A1:I1"/>
    </sheetView>
  </sheetViews>
  <sheetFormatPr defaultRowHeight="12.75" x14ac:dyDescent="0.3"/>
  <cols>
    <col min="1" max="1" width="26.75" bestFit="1" customWidth="1"/>
    <col min="2" max="2" width="9.75" bestFit="1" customWidth="1"/>
    <col min="3" max="3" width="6.58203125" bestFit="1" customWidth="1"/>
    <col min="4" max="4" width="9.5" bestFit="1" customWidth="1"/>
    <col min="5" max="5" width="10.08203125" bestFit="1" customWidth="1"/>
    <col min="6" max="6" width="7.1640625" bestFit="1" customWidth="1"/>
    <col min="7" max="7" width="8.08203125" bestFit="1" customWidth="1"/>
    <col min="8" max="8" width="11.4140625" bestFit="1" customWidth="1"/>
    <col min="9" max="9" width="10.33203125" bestFit="1" customWidth="1"/>
  </cols>
  <sheetData>
    <row r="1" spans="1:9" ht="12.5" customHeight="1" x14ac:dyDescent="0.3">
      <c r="A1" s="5" t="s">
        <v>0</v>
      </c>
      <c r="B1" s="5"/>
      <c r="C1" s="5"/>
      <c r="D1" s="5"/>
      <c r="E1" s="5"/>
      <c r="F1" s="5"/>
      <c r="G1" s="5"/>
      <c r="H1" s="5"/>
      <c r="I1" s="5"/>
    </row>
    <row r="2" spans="1:9" ht="14" x14ac:dyDescent="0.3">
      <c r="A2" s="4" t="s">
        <v>1</v>
      </c>
      <c r="B2" s="1" t="s">
        <v>2</v>
      </c>
      <c r="C2" s="1" t="s">
        <v>3</v>
      </c>
      <c r="D2" s="1" t="s">
        <v>4</v>
      </c>
      <c r="E2" s="1" t="s">
        <v>5</v>
      </c>
      <c r="F2" s="1" t="s">
        <v>6</v>
      </c>
      <c r="G2" s="1" t="s">
        <v>7</v>
      </c>
      <c r="H2" s="1" t="s">
        <v>8</v>
      </c>
      <c r="I2" s="1" t="s">
        <v>9</v>
      </c>
    </row>
    <row r="3" spans="1:9" ht="14" x14ac:dyDescent="0.3">
      <c r="A3" s="4"/>
      <c r="B3" s="1">
        <v>2023</v>
      </c>
      <c r="C3" s="1">
        <v>2023</v>
      </c>
      <c r="D3" s="1">
        <v>2023</v>
      </c>
      <c r="E3" s="1">
        <v>2023</v>
      </c>
      <c r="F3" s="1">
        <v>2023</v>
      </c>
      <c r="G3" s="1">
        <v>2023</v>
      </c>
      <c r="H3" s="1">
        <v>2023</v>
      </c>
      <c r="I3" s="1">
        <v>2023</v>
      </c>
    </row>
    <row r="4" spans="1:9" ht="14" x14ac:dyDescent="0.3">
      <c r="A4" s="2" t="s">
        <v>10</v>
      </c>
      <c r="B4" s="3">
        <f>((37026+580797+(1029888+1202733)+111227+122411+1009057)+(0+139539)+418616)</f>
        <v>4651294</v>
      </c>
      <c r="C4" s="3">
        <f t="shared" ref="C4:D6" si="0">((0+0+(0+0)+0+0+0)+(0+0)+0)</f>
        <v>0</v>
      </c>
      <c r="D4" s="3">
        <f t="shared" si="0"/>
        <v>0</v>
      </c>
      <c r="E4" s="3">
        <f>(((37026+580797+(1029888+1202733)+111227+122411+1009057)+(0+139539)+418616)+((0+0+(0+0)+0+0+0)+(0+0)+0)+((0+0+(0+0)+0+0+0)+(0+0)+0))</f>
        <v>4651294</v>
      </c>
      <c r="F4" s="3">
        <f t="shared" ref="F4:G6" si="1">((0+0+(0+0)+0+0+0)+(0+0)+0)</f>
        <v>0</v>
      </c>
      <c r="G4" s="3">
        <f t="shared" si="1"/>
        <v>0</v>
      </c>
      <c r="H4" s="3">
        <f>(((0+0+(0+0)+0+0+0)+(0+0)+0)+((0+0+(0+0)+0+0+0)+(0+0)+0))</f>
        <v>0</v>
      </c>
      <c r="I4" s="3">
        <f>((((37026+580797+(1029888+1202733)+111227+122411+1009057)+(0+139539)+418616)+((0+0+(0+0)+0+0+0)+(0+0)+0)+((0+0+(0+0)+0+0+0)+(0+0)+0))-(((0+0+(0+0)+0+0+0)+(0+0)+0)+((0+0+(0+0)+0+0+0)+(0+0)+0)))</f>
        <v>4651294</v>
      </c>
    </row>
    <row r="5" spans="1:9" ht="14" x14ac:dyDescent="0.3">
      <c r="A5" s="2" t="s">
        <v>11</v>
      </c>
      <c r="B5" s="3">
        <f>((0+0+(0+0)+0+0+278941)+(1231545+31843)+283867)</f>
        <v>1826196</v>
      </c>
      <c r="C5" s="3">
        <f t="shared" si="0"/>
        <v>0</v>
      </c>
      <c r="D5" s="3">
        <f t="shared" si="0"/>
        <v>0</v>
      </c>
      <c r="E5" s="3">
        <f>(((0+0+(0+0)+0+0+278941)+(1231545+31843)+283867)+((0+0+(0+0)+0+0+0)+(0+0)+0)+((0+0+(0+0)+0+0+0)+(0+0)+0))</f>
        <v>1826196</v>
      </c>
      <c r="F5" s="3">
        <f t="shared" si="1"/>
        <v>0</v>
      </c>
      <c r="G5" s="3">
        <f t="shared" si="1"/>
        <v>0</v>
      </c>
      <c r="H5" s="3">
        <f>(((0+0+(0+0)+0+0+0)+(0+0)+0)+((0+0+(0+0)+0+0+0)+(0+0)+0))</f>
        <v>0</v>
      </c>
      <c r="I5" s="3">
        <f>((((0+0+(0+0)+0+0+278941)+(1231545+31843)+283867)+((0+0+(0+0)+0+0+0)+(0+0)+0)+((0+0+(0+0)+0+0+0)+(0+0)+0))-(((0+0+(0+0)+0+0+0)+(0+0)+0)+((0+0+(0+0)+0+0+0)+(0+0)+0)))</f>
        <v>1826196</v>
      </c>
    </row>
    <row r="6" spans="1:9" ht="14" x14ac:dyDescent="0.3">
      <c r="A6" s="2" t="s">
        <v>12</v>
      </c>
      <c r="B6" s="3">
        <f>((429389+846581+(1117453+1303453)+128623+305696+575365)+(21831+172989)+126172)</f>
        <v>5027552</v>
      </c>
      <c r="C6" s="3">
        <f t="shared" si="0"/>
        <v>0</v>
      </c>
      <c r="D6" s="3">
        <f t="shared" si="0"/>
        <v>0</v>
      </c>
      <c r="E6" s="3">
        <f>(((429389+846581+(1117453+1303453)+128623+305696+575365)+(21831+172989)+126172)+((0+0+(0+0)+0+0+0)+(0+0)+0)+((0+0+(0+0)+0+0+0)+(0+0)+0))</f>
        <v>5027552</v>
      </c>
      <c r="F6" s="3">
        <f t="shared" si="1"/>
        <v>0</v>
      </c>
      <c r="G6" s="3">
        <f t="shared" si="1"/>
        <v>0</v>
      </c>
      <c r="H6" s="3">
        <f>(((0+0+(0+0)+0+0+0)+(0+0)+0)+((0+0+(0+0)+0+0+0)+(0+0)+0))</f>
        <v>0</v>
      </c>
      <c r="I6" s="3">
        <f>((((429389+846581+(1117453+1303453)+128623+305696+575365)+(21831+172989)+126172)+((0+0+(0+0)+0+0+0)+(0+0)+0)+((0+0+(0+0)+0+0+0)+(0+0)+0))-(((0+0+(0+0)+0+0+0)+(0+0)+0)+((0+0+(0+0)+0+0+0)+(0+0)+0)))</f>
        <v>5027552</v>
      </c>
    </row>
    <row r="7" spans="1:9" ht="14" x14ac:dyDescent="0.3">
      <c r="A7" s="2" t="s">
        <v>13</v>
      </c>
      <c r="B7" s="3">
        <f>((20560+184858+(212161+221814)+30701+85302+37187)+(0+0)+128196)</f>
        <v>920779</v>
      </c>
      <c r="C7" s="3">
        <f>((6570+58594+(0+0)+0+11120+0)+(0+0)+23224)</f>
        <v>99508</v>
      </c>
      <c r="D7" s="3">
        <f t="shared" ref="D7:D20" si="2">((0+0+(0+0)+0+0+0)+(0+0)+0)</f>
        <v>0</v>
      </c>
      <c r="E7" s="3">
        <f>(((20560+184858+(212161+221814)+30701+85302+37187)+(0+0)+128196)+((6570+58594+(0+0)+0+11120+0)+(0+0)+23224)+((0+0+(0+0)+0+0+0)+(0+0)+0))</f>
        <v>1020287</v>
      </c>
      <c r="F7" s="3">
        <f>((37+21072+(0+0)+15+2666+40)+(0+0)+0)</f>
        <v>23830</v>
      </c>
      <c r="G7" s="3">
        <f>((0+97484+(6443+7417)+3985+45209+4067)+(0+0)+0)</f>
        <v>164605</v>
      </c>
      <c r="H7" s="3">
        <f>(((37+21072+(0+0)+15+2666+40)+(0+0)+0)+((0+97484+(6443+7417)+3985+45209+4067)+(0+0)+0))</f>
        <v>188435</v>
      </c>
      <c r="I7" s="3">
        <f>((((20560+184858+(212161+221814)+30701+85302+37187)+(0+0)+128196)+((6570+58594+(0+0)+0+11120+0)+(0+0)+23224)+((0+0+(0+0)+0+0+0)+(0+0)+0))-(((37+21072+(0+0)+15+2666+40)+(0+0)+0)+((0+97484+(6443+7417)+3985+45209+4067)+(0+0)+0)))</f>
        <v>831852</v>
      </c>
    </row>
    <row r="8" spans="1:9" ht="14" x14ac:dyDescent="0.3">
      <c r="A8" s="2" t="s">
        <v>14</v>
      </c>
      <c r="B8" s="3">
        <f>((1507+43033+(1371373+1863398)+40769+93937+34297)+(183902+1023813)+11798912)</f>
        <v>16454941</v>
      </c>
      <c r="C8" s="3">
        <f>((0+0+(0+0)+0+0+0)+(0+0)+0)</f>
        <v>0</v>
      </c>
      <c r="D8" s="3">
        <f t="shared" si="2"/>
        <v>0</v>
      </c>
      <c r="E8" s="3">
        <f>(((1507+43033+(1371373+1863398)+40769+93937+34297)+(183902+1023813)+11798912)+((0+0+(0+0)+0+0+0)+(0+0)+0)+((0+0+(0+0)+0+0+0)+(0+0)+0))</f>
        <v>16454941</v>
      </c>
      <c r="F8" s="3">
        <f t="shared" ref="F8:G14" si="3">((0+0+(0+0)+0+0+0)+(0+0)+0)</f>
        <v>0</v>
      </c>
      <c r="G8" s="3">
        <f t="shared" si="3"/>
        <v>0</v>
      </c>
      <c r="H8" s="3">
        <f t="shared" ref="H8:H14" si="4">(((0+0+(0+0)+0+0+0)+(0+0)+0)+((0+0+(0+0)+0+0+0)+(0+0)+0))</f>
        <v>0</v>
      </c>
      <c r="I8" s="3">
        <f>((((1507+43033+(1371373+1863398)+40769+93937+34297)+(183902+1023813)+11798912)+((0+0+(0+0)+0+0+0)+(0+0)+0)+((0+0+(0+0)+0+0+0)+(0+0)+0))-(((0+0+(0+0)+0+0+0)+(0+0)+0)+((0+0+(0+0)+0+0+0)+(0+0)+0)))</f>
        <v>16454941</v>
      </c>
    </row>
    <row r="9" spans="1:9" ht="14" x14ac:dyDescent="0.3">
      <c r="A9" s="2" t="s">
        <v>15</v>
      </c>
      <c r="B9" s="3">
        <f>((175479+1485926+(1316137+1144814)+266776+742963+293367)+(0+297981)+929876)</f>
        <v>6653319</v>
      </c>
      <c r="C9" s="3">
        <f>((0+0+(0+0)+0+0+0)+(0+0)+0)</f>
        <v>0</v>
      </c>
      <c r="D9" s="3">
        <f t="shared" si="2"/>
        <v>0</v>
      </c>
      <c r="E9" s="3">
        <f>(((175479+1485926+(1316137+1144814)+266776+742963+293367)+(0+297981)+929876)+((0+0+(0+0)+0+0+0)+(0+0)+0)+((0+0+(0+0)+0+0+0)+(0+0)+0))</f>
        <v>6653319</v>
      </c>
      <c r="F9" s="3">
        <f t="shared" si="3"/>
        <v>0</v>
      </c>
      <c r="G9" s="3">
        <f t="shared" si="3"/>
        <v>0</v>
      </c>
      <c r="H9" s="3">
        <f t="shared" si="4"/>
        <v>0</v>
      </c>
      <c r="I9" s="3">
        <f>((((175479+1485926+(1316137+1144814)+266776+742963+293367)+(0+297981)+929876)+((0+0+(0+0)+0+0+0)+(0+0)+0)+((0+0+(0+0)+0+0+0)+(0+0)+0))-(((0+0+(0+0)+0+0+0)+(0+0)+0)+((0+0+(0+0)+0+0+0)+(0+0)+0)))</f>
        <v>6653319</v>
      </c>
    </row>
    <row r="10" spans="1:9" ht="14" x14ac:dyDescent="0.3">
      <c r="A10" s="2" t="s">
        <v>16</v>
      </c>
      <c r="B10" s="3">
        <f>((399+267352+(434452+637858)+52970+49787+19631)+(277714+1735155)+1369220)</f>
        <v>4844538</v>
      </c>
      <c r="C10" s="3">
        <f>((0+0+(0+0)+0+0+0)+(0+0)+0)</f>
        <v>0</v>
      </c>
      <c r="D10" s="3">
        <f t="shared" si="2"/>
        <v>0</v>
      </c>
      <c r="E10" s="3">
        <f>(((399+267352+(434452+637858)+52970+49787+19631)+(277714+1735155)+1369220)+((0+0+(0+0)+0+0+0)+(0+0)+0)+((0+0+(0+0)+0+0+0)+(0+0)+0))</f>
        <v>4844538</v>
      </c>
      <c r="F10" s="3">
        <f t="shared" si="3"/>
        <v>0</v>
      </c>
      <c r="G10" s="3">
        <f t="shared" si="3"/>
        <v>0</v>
      </c>
      <c r="H10" s="3">
        <f t="shared" si="4"/>
        <v>0</v>
      </c>
      <c r="I10" s="3">
        <f>((((399+267352+(434452+637858)+52970+49787+19631)+(277714+1735155)+1369220)+((0+0+(0+0)+0+0+0)+(0+0)+0)+((0+0+(0+0)+0+0+0)+(0+0)+0))-(((0+0+(0+0)+0+0+0)+(0+0)+0)+((0+0+(0+0)+0+0+0)+(0+0)+0)))</f>
        <v>4844538</v>
      </c>
    </row>
    <row r="11" spans="1:9" ht="14" x14ac:dyDescent="0.3">
      <c r="A11" s="2" t="s">
        <v>17</v>
      </c>
      <c r="B11" s="3">
        <f>((5706+24125+(68300+210533)+1017+1431+2793)+(0+0)+0)</f>
        <v>313905</v>
      </c>
      <c r="C11" s="3">
        <f>((0+51683+(0+0)+0+2402+0)+(0+0)+0)</f>
        <v>54085</v>
      </c>
      <c r="D11" s="3">
        <f t="shared" si="2"/>
        <v>0</v>
      </c>
      <c r="E11" s="3">
        <f>(((5706+24125+(68300+210533)+1017+1431+2793)+(0+0)+0)+((0+51683+(0+0)+0+2402+0)+(0+0)+0)+((0+0+(0+0)+0+0+0)+(0+0)+0))</f>
        <v>367990</v>
      </c>
      <c r="F11" s="3">
        <f t="shared" si="3"/>
        <v>0</v>
      </c>
      <c r="G11" s="3">
        <f t="shared" si="3"/>
        <v>0</v>
      </c>
      <c r="H11" s="3">
        <f t="shared" si="4"/>
        <v>0</v>
      </c>
      <c r="I11" s="3">
        <f>((((5706+24125+(68300+210533)+1017+1431+2793)+(0+0)+0)+((0+51683+(0+0)+0+2402+0)+(0+0)+0)+((0+0+(0+0)+0+0+0)+(0+0)+0))-(((0+0+(0+0)+0+0+0)+(0+0)+0)+((0+0+(0+0)+0+0+0)+(0+0)+0)))</f>
        <v>367990</v>
      </c>
    </row>
    <row r="12" spans="1:9" ht="14" x14ac:dyDescent="0.3">
      <c r="A12" s="2" t="s">
        <v>18</v>
      </c>
      <c r="B12" s="3">
        <f>((7001+209509+(126583+29197)+22898+37343+6909)+(0+0)+377874)</f>
        <v>817314</v>
      </c>
      <c r="C12" s="3">
        <f t="shared" ref="C12:C20" si="5">((0+0+(0+0)+0+0+0)+(0+0)+0)</f>
        <v>0</v>
      </c>
      <c r="D12" s="3">
        <f t="shared" si="2"/>
        <v>0</v>
      </c>
      <c r="E12" s="3">
        <f>(((7001+209509+(126583+29197)+22898+37343+6909)+(0+0)+377874)+((0+0+(0+0)+0+0+0)+(0+0)+0)+((0+0+(0+0)+0+0+0)+(0+0)+0))</f>
        <v>817314</v>
      </c>
      <c r="F12" s="3">
        <f t="shared" si="3"/>
        <v>0</v>
      </c>
      <c r="G12" s="3">
        <f t="shared" si="3"/>
        <v>0</v>
      </c>
      <c r="H12" s="3">
        <f t="shared" si="4"/>
        <v>0</v>
      </c>
      <c r="I12" s="3">
        <f>((((7001+209509+(126583+29197)+22898+37343+6909)+(0+0)+377874)+((0+0+(0+0)+0+0+0)+(0+0)+0)+((0+0+(0+0)+0+0+0)+(0+0)+0))-(((0+0+(0+0)+0+0+0)+(0+0)+0)+((0+0+(0+0)+0+0+0)+(0+0)+0)))</f>
        <v>817314</v>
      </c>
    </row>
    <row r="13" spans="1:9" ht="14" x14ac:dyDescent="0.3">
      <c r="A13" s="2" t="s">
        <v>19</v>
      </c>
      <c r="B13" s="3">
        <f>((90205+224475+(1247307+831537)+100501+216424+34317)+(478618+84462)+99711)</f>
        <v>3407557</v>
      </c>
      <c r="C13" s="3">
        <f t="shared" si="5"/>
        <v>0</v>
      </c>
      <c r="D13" s="3">
        <f t="shared" si="2"/>
        <v>0</v>
      </c>
      <c r="E13" s="3">
        <f>(((90205+224475+(1247307+831537)+100501+216424+34317)+(478618+84462)+99711)+((0+0+(0+0)+0+0+0)+(0+0)+0)+((0+0+(0+0)+0+0+0)+(0+0)+0))</f>
        <v>3407557</v>
      </c>
      <c r="F13" s="3">
        <f t="shared" si="3"/>
        <v>0</v>
      </c>
      <c r="G13" s="3">
        <f t="shared" si="3"/>
        <v>0</v>
      </c>
      <c r="H13" s="3">
        <f t="shared" si="4"/>
        <v>0</v>
      </c>
      <c r="I13" s="3">
        <f>((((90205+224475+(1247307+831537)+100501+216424+34317)+(478618+84462)+99711)+((0+0+(0+0)+0+0+0)+(0+0)+0)+((0+0+(0+0)+0+0+0)+(0+0)+0))-(((0+0+(0+0)+0+0+0)+(0+0)+0)+((0+0+(0+0)+0+0+0)+(0+0)+0)))</f>
        <v>3407557</v>
      </c>
    </row>
    <row r="14" spans="1:9" ht="14" x14ac:dyDescent="0.3">
      <c r="A14" s="2" t="s">
        <v>20</v>
      </c>
      <c r="B14" s="3">
        <f>((32942+113400+(55300+0)+79001+39054+40792)+(133502+16427)+165620)</f>
        <v>676038</v>
      </c>
      <c r="C14" s="3">
        <f t="shared" si="5"/>
        <v>0</v>
      </c>
      <c r="D14" s="3">
        <f t="shared" si="2"/>
        <v>0</v>
      </c>
      <c r="E14" s="3">
        <f>(((32942+113400+(55300+0)+79001+39054+40792)+(133502+16427)+165620)+((0+0+(0+0)+0+0+0)+(0+0)+0)+((0+0+(0+0)+0+0+0)+(0+0)+0))</f>
        <v>676038</v>
      </c>
      <c r="F14" s="3">
        <f t="shared" si="3"/>
        <v>0</v>
      </c>
      <c r="G14" s="3">
        <f t="shared" si="3"/>
        <v>0</v>
      </c>
      <c r="H14" s="3">
        <f t="shared" si="4"/>
        <v>0</v>
      </c>
      <c r="I14" s="3">
        <f>((((32942+113400+(55300+0)+79001+39054+40792)+(133502+16427)+165620)+((0+0+(0+0)+0+0+0)+(0+0)+0)+((0+0+(0+0)+0+0+0)+(0+0)+0))-(((0+0+(0+0)+0+0+0)+(0+0)+0)+((0+0+(0+0)+0+0+0)+(0+0)+0)))</f>
        <v>676038</v>
      </c>
    </row>
    <row r="15" spans="1:9" ht="14" x14ac:dyDescent="0.3">
      <c r="A15" s="2" t="s">
        <v>21</v>
      </c>
      <c r="B15" s="3">
        <f>((0+0+(0+0)+0+0+0)+(0+0)+0)</f>
        <v>0</v>
      </c>
      <c r="C15" s="3">
        <f t="shared" si="5"/>
        <v>0</v>
      </c>
      <c r="D15" s="3">
        <f t="shared" si="2"/>
        <v>0</v>
      </c>
      <c r="E15" s="3">
        <f>(((0+0+(0+0)+0+0+0)+(0+0)+0)+((0+0+(0+0)+0+0+0)+(0+0)+0)+((0+0+(0+0)+0+0+0)+(0+0)+0))</f>
        <v>0</v>
      </c>
      <c r="F15" s="3">
        <f>((0+0+(0+0)+0+0+0)+(0+0)+732657)</f>
        <v>732657</v>
      </c>
      <c r="G15" s="3">
        <f t="shared" ref="G15:G20" si="6">((0+0+(0+0)+0+0+0)+(0+0)+0)</f>
        <v>0</v>
      </c>
      <c r="H15" s="3">
        <f>(((0+0+(0+0)+0+0+0)+(0+0)+732657)+((0+0+(0+0)+0+0+0)+(0+0)+0))</f>
        <v>732657</v>
      </c>
      <c r="I15" s="3">
        <f>((((0+0+(0+0)+0+0+0)+(0+0)+0)+((0+0+(0+0)+0+0+0)+(0+0)+0)+((0+0+(0+0)+0+0+0)+(0+0)+0))-(((0+0+(0+0)+0+0+0)+(0+0)+732657)+((0+0+(0+0)+0+0+0)+(0+0)+0)))</f>
        <v>-732657</v>
      </c>
    </row>
    <row r="16" spans="1:9" ht="14" x14ac:dyDescent="0.3">
      <c r="A16" s="2" t="s">
        <v>22</v>
      </c>
      <c r="B16" s="3">
        <f>((890501+3351697+(935203+1203482)+308436+270505+528370)+(596856+1001285)+600715)</f>
        <v>9687050</v>
      </c>
      <c r="C16" s="3">
        <f t="shared" si="5"/>
        <v>0</v>
      </c>
      <c r="D16" s="3">
        <f t="shared" si="2"/>
        <v>0</v>
      </c>
      <c r="E16" s="3">
        <f>(((890501+3351697+(935203+1203482)+308436+270505+528370)+(596856+1001285)+600715)+((0+0+(0+0)+0+0+0)+(0+0)+0)+((0+0+(0+0)+0+0+0)+(0+0)+0))</f>
        <v>9687050</v>
      </c>
      <c r="F16" s="3">
        <f>((0+0+(0+0)+0+0+0)+(0+0)+0)</f>
        <v>0</v>
      </c>
      <c r="G16" s="3">
        <f t="shared" si="6"/>
        <v>0</v>
      </c>
      <c r="H16" s="3">
        <f>(((0+0+(0+0)+0+0+0)+(0+0)+0)+((0+0+(0+0)+0+0+0)+(0+0)+0))</f>
        <v>0</v>
      </c>
      <c r="I16" s="3">
        <f>((((890501+3351697+(935203+1203482)+308436+270505+528370)+(596856+1001285)+600715)+((0+0+(0+0)+0+0+0)+(0+0)+0)+((0+0+(0+0)+0+0+0)+(0+0)+0))-(((0+0+(0+0)+0+0+0)+(0+0)+0)+((0+0+(0+0)+0+0+0)+(0+0)+0)))</f>
        <v>9687050</v>
      </c>
    </row>
    <row r="17" spans="1:9" ht="14" x14ac:dyDescent="0.3">
      <c r="A17" s="2" t="s">
        <v>23</v>
      </c>
      <c r="B17" s="3">
        <f>((16437+407889+(54831+0)+22737+65568+23469)+(0+120975)+198787)</f>
        <v>910693</v>
      </c>
      <c r="C17" s="3">
        <f t="shared" si="5"/>
        <v>0</v>
      </c>
      <c r="D17" s="3">
        <f t="shared" si="2"/>
        <v>0</v>
      </c>
      <c r="E17" s="3">
        <f>(((16437+407889+(54831+0)+22737+65568+23469)+(0+120975)+198787)+((0+0+(0+0)+0+0+0)+(0+0)+0)+((0+0+(0+0)+0+0+0)+(0+0)+0))</f>
        <v>910693</v>
      </c>
      <c r="F17" s="3">
        <f>((0+0+(0+0)+0+0+0)+(0+0)+0)</f>
        <v>0</v>
      </c>
      <c r="G17" s="3">
        <f t="shared" si="6"/>
        <v>0</v>
      </c>
      <c r="H17" s="3">
        <f>(((0+0+(0+0)+0+0+0)+(0+0)+0)+((0+0+(0+0)+0+0+0)+(0+0)+0))</f>
        <v>0</v>
      </c>
      <c r="I17" s="3">
        <f>((((16437+407889+(54831+0)+22737+65568+23469)+(0+120975)+198787)+((0+0+(0+0)+0+0+0)+(0+0)+0)+((0+0+(0+0)+0+0+0)+(0+0)+0))-(((0+0+(0+0)+0+0+0)+(0+0)+0)+((0+0+(0+0)+0+0+0)+(0+0)+0)))</f>
        <v>910693</v>
      </c>
    </row>
    <row r="18" spans="1:9" ht="14" x14ac:dyDescent="0.3">
      <c r="A18" s="2" t="s">
        <v>24</v>
      </c>
      <c r="B18" s="3">
        <f>((179066+221926+(490620+458335)+166471+212999+51241)+(28088+151805)+179838)</f>
        <v>2140389</v>
      </c>
      <c r="C18" s="3">
        <f t="shared" si="5"/>
        <v>0</v>
      </c>
      <c r="D18" s="3">
        <f t="shared" si="2"/>
        <v>0</v>
      </c>
      <c r="E18" s="3">
        <f>(((179066+221926+(490620+458335)+166471+212999+51241)+(28088+151805)+179838)+((0+0+(0+0)+0+0+0)+(0+0)+0)+((0+0+(0+0)+0+0+0)+(0+0)+0))</f>
        <v>2140389</v>
      </c>
      <c r="F18" s="3">
        <f>((0+0+(0+0)+0+0+0)+(0+0)+0)</f>
        <v>0</v>
      </c>
      <c r="G18" s="3">
        <f t="shared" si="6"/>
        <v>0</v>
      </c>
      <c r="H18" s="3">
        <f>(((0+0+(0+0)+0+0+0)+(0+0)+0)+((0+0+(0+0)+0+0+0)+(0+0)+0))</f>
        <v>0</v>
      </c>
      <c r="I18" s="3">
        <f>((((179066+221926+(490620+458335)+166471+212999+51241)+(28088+151805)+179838)+((0+0+(0+0)+0+0+0)+(0+0)+0)+((0+0+(0+0)+0+0+0)+(0+0)+0))-(((0+0+(0+0)+0+0+0)+(0+0)+0)+((0+0+(0+0)+0+0+0)+(0+0)+0)))</f>
        <v>2140389</v>
      </c>
    </row>
    <row r="19" spans="1:9" ht="14" x14ac:dyDescent="0.3">
      <c r="A19" s="2" t="s">
        <v>25</v>
      </c>
      <c r="B19" s="3">
        <f>((198061+1825640+(2905842+1685750)+(-20)+552713+207059)+(12945+151142)+317881)</f>
        <v>7857013</v>
      </c>
      <c r="C19" s="3">
        <f t="shared" si="5"/>
        <v>0</v>
      </c>
      <c r="D19" s="3">
        <f t="shared" si="2"/>
        <v>0</v>
      </c>
      <c r="E19" s="3">
        <f>(((198061+1825640+(2905842+1685750)+(-20)+552713+207059)+(12945+151142)+317881)+((0+0+(0+0)+0+0+0)+(0+0)+0)+((0+0+(0+0)+0+0+0)+(0+0)+0))</f>
        <v>7857013</v>
      </c>
      <c r="F19" s="3">
        <f>((0+0+(0+0)+0+0+0)+(0+0)+0)</f>
        <v>0</v>
      </c>
      <c r="G19" s="3">
        <f t="shared" si="6"/>
        <v>0</v>
      </c>
      <c r="H19" s="3">
        <f>(((0+0+(0+0)+0+0+0)+(0+0)+0)+((0+0+(0+0)+0+0+0)+(0+0)+0))</f>
        <v>0</v>
      </c>
      <c r="I19" s="3">
        <f>((((198061+1825640+(2905842+1685750)+(-20)+552713+207059)+(12945+151142)+317881)+((0+0+(0+0)+0+0+0)+(0+0)+0)+((0+0+(0+0)+0+0+0)+(0+0)+0))-(((0+0+(0+0)+0+0+0)+(0+0)+0)+((0+0+(0+0)+0+0+0)+(0+0)+0)))</f>
        <v>7857013</v>
      </c>
    </row>
    <row r="20" spans="1:9" ht="14" x14ac:dyDescent="0.3">
      <c r="A20" s="2" t="s">
        <v>26</v>
      </c>
      <c r="B20" s="3">
        <f>((271405+403667+(1015159+297352)+208553+196477+739488)+(657051+1692735)+598733)</f>
        <v>6080620</v>
      </c>
      <c r="C20" s="3">
        <f t="shared" si="5"/>
        <v>0</v>
      </c>
      <c r="D20" s="3">
        <f t="shared" si="2"/>
        <v>0</v>
      </c>
      <c r="E20" s="3">
        <f>(((271405+403667+(1015159+297352)+208553+196477+739488)+(657051+1692735)+598733)+((0+0+(0+0)+0+0+0)+(0+0)+0)+((0+0+(0+0)+0+0+0)+(0+0)+0))</f>
        <v>6080620</v>
      </c>
      <c r="F20" s="3">
        <f>((0+0+(0+0)+0+0+0)+(0+0)+0)</f>
        <v>0</v>
      </c>
      <c r="G20" s="3">
        <f t="shared" si="6"/>
        <v>0</v>
      </c>
      <c r="H20" s="3">
        <f>(((0+0+(0+0)+0+0+0)+(0+0)+0)+((0+0+(0+0)+0+0+0)+(0+0)+0))</f>
        <v>0</v>
      </c>
      <c r="I20" s="3">
        <f>((((271405+403667+(1015159+297352)+208553+196477+739488)+(657051+1692735)+598733)+((0+0+(0+0)+0+0+0)+(0+0)+0)+((0+0+(0+0)+0+0+0)+(0+0)+0))-(((0+0+(0+0)+0+0+0)+(0+0)+0)+((0+0+(0+0)+0+0+0)+(0+0)+0)))</f>
        <v>6080620</v>
      </c>
    </row>
    <row r="21" spans="1:9" ht="14" x14ac:dyDescent="0.3">
      <c r="A21" s="5" t="s">
        <v>27</v>
      </c>
      <c r="B21" s="5"/>
      <c r="C21" s="5"/>
      <c r="D21" s="5"/>
      <c r="E21" s="5"/>
      <c r="F21" s="5"/>
      <c r="G21" s="5"/>
      <c r="H21" s="5"/>
      <c r="I21" s="5"/>
    </row>
    <row r="22" spans="1:9" ht="14" x14ac:dyDescent="0.3">
      <c r="A22" s="4" t="s">
        <v>1</v>
      </c>
      <c r="B22" s="1" t="s">
        <v>2</v>
      </c>
      <c r="C22" s="1" t="s">
        <v>3</v>
      </c>
      <c r="D22" s="1" t="s">
        <v>4</v>
      </c>
      <c r="E22" s="1" t="s">
        <v>5</v>
      </c>
      <c r="F22" s="1" t="s">
        <v>6</v>
      </c>
      <c r="G22" s="1" t="s">
        <v>7</v>
      </c>
      <c r="H22" s="1" t="s">
        <v>8</v>
      </c>
      <c r="I22" s="1" t="s">
        <v>9</v>
      </c>
    </row>
    <row r="23" spans="1:9" ht="14" x14ac:dyDescent="0.3">
      <c r="A23" s="4"/>
      <c r="B23" s="1">
        <v>2023</v>
      </c>
      <c r="C23" s="1">
        <v>2023</v>
      </c>
      <c r="D23" s="1">
        <v>2023</v>
      </c>
      <c r="E23" s="1">
        <v>2023</v>
      </c>
      <c r="F23" s="1">
        <v>2023</v>
      </c>
      <c r="G23" s="1">
        <v>2023</v>
      </c>
      <c r="H23" s="1">
        <v>2023</v>
      </c>
      <c r="I23" s="1">
        <v>2023</v>
      </c>
    </row>
    <row r="24" spans="1:9" ht="14" x14ac:dyDescent="0.3">
      <c r="A24" s="2" t="s">
        <v>10</v>
      </c>
      <c r="B24" s="3">
        <f>(37026+580797+(1029888+1202733)+111227+122411+1009057)</f>
        <v>4093139</v>
      </c>
      <c r="C24" s="3">
        <f t="shared" ref="C24:D26" si="7">(0+0+(0+0)+0+0+0)</f>
        <v>0</v>
      </c>
      <c r="D24" s="3">
        <f t="shared" si="7"/>
        <v>0</v>
      </c>
      <c r="E24" s="3">
        <f>((37026+580797+(1029888+1202733)+111227+122411+1009057)+(0+0+(0+0)+0+0+0)+(0+0+(0+0)+0+0+0))</f>
        <v>4093139</v>
      </c>
      <c r="F24" s="3">
        <f t="shared" ref="F24:G26" si="8">(0+0+(0+0)+0+0+0)</f>
        <v>0</v>
      </c>
      <c r="G24" s="3">
        <f t="shared" si="8"/>
        <v>0</v>
      </c>
      <c r="H24" s="3">
        <f>((0+0+(0+0)+0+0+0)+(0+0+(0+0)+0+0+0))</f>
        <v>0</v>
      </c>
      <c r="I24" s="3">
        <f>(((37026+580797+(1029888+1202733)+111227+122411+1009057)+(0+0+(0+0)+0+0+0)+(0+0+(0+0)+0+0+0))-((0+0+(0+0)+0+0+0)+(0+0+(0+0)+0+0+0)))</f>
        <v>4093139</v>
      </c>
    </row>
    <row r="25" spans="1:9" ht="14" x14ac:dyDescent="0.3">
      <c r="A25" s="2" t="s">
        <v>11</v>
      </c>
      <c r="B25" s="3">
        <f>(0+0+(0+0)+0+0+278941)</f>
        <v>278941</v>
      </c>
      <c r="C25" s="3">
        <f t="shared" si="7"/>
        <v>0</v>
      </c>
      <c r="D25" s="3">
        <f t="shared" si="7"/>
        <v>0</v>
      </c>
      <c r="E25" s="3">
        <f>((0+0+(0+0)+0+0+278941)+(0+0+(0+0)+0+0+0)+(0+0+(0+0)+0+0+0))</f>
        <v>278941</v>
      </c>
      <c r="F25" s="3">
        <f t="shared" si="8"/>
        <v>0</v>
      </c>
      <c r="G25" s="3">
        <f t="shared" si="8"/>
        <v>0</v>
      </c>
      <c r="H25" s="3">
        <f>((0+0+(0+0)+0+0+0)+(0+0+(0+0)+0+0+0))</f>
        <v>0</v>
      </c>
      <c r="I25" s="3">
        <f>(((0+0+(0+0)+0+0+278941)+(0+0+(0+0)+0+0+0)+(0+0+(0+0)+0+0+0))-((0+0+(0+0)+0+0+0)+(0+0+(0+0)+0+0+0)))</f>
        <v>278941</v>
      </c>
    </row>
    <row r="26" spans="1:9" ht="14" x14ac:dyDescent="0.3">
      <c r="A26" s="2" t="s">
        <v>12</v>
      </c>
      <c r="B26" s="3">
        <f>(429389+846581+(1117453+1303453)+128623+305696+575365)</f>
        <v>4706560</v>
      </c>
      <c r="C26" s="3">
        <f t="shared" si="7"/>
        <v>0</v>
      </c>
      <c r="D26" s="3">
        <f t="shared" si="7"/>
        <v>0</v>
      </c>
      <c r="E26" s="3">
        <f>((429389+846581+(1117453+1303453)+128623+305696+575365)+(0+0+(0+0)+0+0+0)+(0+0+(0+0)+0+0+0))</f>
        <v>4706560</v>
      </c>
      <c r="F26" s="3">
        <f t="shared" si="8"/>
        <v>0</v>
      </c>
      <c r="G26" s="3">
        <f t="shared" si="8"/>
        <v>0</v>
      </c>
      <c r="H26" s="3">
        <f>((0+0+(0+0)+0+0+0)+(0+0+(0+0)+0+0+0))</f>
        <v>0</v>
      </c>
      <c r="I26" s="3">
        <f>(((429389+846581+(1117453+1303453)+128623+305696+575365)+(0+0+(0+0)+0+0+0)+(0+0+(0+0)+0+0+0))-((0+0+(0+0)+0+0+0)+(0+0+(0+0)+0+0+0)))</f>
        <v>4706560</v>
      </c>
    </row>
    <row r="27" spans="1:9" ht="14" x14ac:dyDescent="0.3">
      <c r="A27" s="2" t="s">
        <v>13</v>
      </c>
      <c r="B27" s="3">
        <f>(20560+184858+(212161+221814)+30701+85302+37187)</f>
        <v>792583</v>
      </c>
      <c r="C27" s="3">
        <f>(6570+58594+(0+0)+0+11120+0)</f>
        <v>76284</v>
      </c>
      <c r="D27" s="3">
        <f t="shared" ref="D27:D40" si="9">(0+0+(0+0)+0+0+0)</f>
        <v>0</v>
      </c>
      <c r="E27" s="3">
        <f>((20560+184858+(212161+221814)+30701+85302+37187)+(6570+58594+(0+0)+0+11120+0)+(0+0+(0+0)+0+0+0))</f>
        <v>868867</v>
      </c>
      <c r="F27" s="3">
        <f>(37+21072+(0+0)+15+2666+40)</f>
        <v>23830</v>
      </c>
      <c r="G27" s="3">
        <f>(0+97484+(6443+7417)+3985+45209+4067)</f>
        <v>164605</v>
      </c>
      <c r="H27" s="3">
        <f>((37+21072+(0+0)+15+2666+40)+(0+97484+(6443+7417)+3985+45209+4067))</f>
        <v>188435</v>
      </c>
      <c r="I27" s="3">
        <f>(((20560+184858+(212161+221814)+30701+85302+37187)+(6570+58594+(0+0)+0+11120+0)+(0+0+(0+0)+0+0+0))-((37+21072+(0+0)+15+2666+40)+(0+97484+(6443+7417)+3985+45209+4067)))</f>
        <v>680432</v>
      </c>
    </row>
    <row r="28" spans="1:9" ht="14" x14ac:dyDescent="0.3">
      <c r="A28" s="2" t="s">
        <v>14</v>
      </c>
      <c r="B28" s="3">
        <f>(1507+43033+(1371373+1863398)+40769+93937+34297)</f>
        <v>3448314</v>
      </c>
      <c r="C28" s="3">
        <f>(0+0+(0+0)+0+0+0)</f>
        <v>0</v>
      </c>
      <c r="D28" s="3">
        <f t="shared" si="9"/>
        <v>0</v>
      </c>
      <c r="E28" s="3">
        <f>((1507+43033+(1371373+1863398)+40769+93937+34297)+(0+0+(0+0)+0+0+0)+(0+0+(0+0)+0+0+0))</f>
        <v>3448314</v>
      </c>
      <c r="F28" s="3">
        <f t="shared" ref="F28:G40" si="10">(0+0+(0+0)+0+0+0)</f>
        <v>0</v>
      </c>
      <c r="G28" s="3">
        <f t="shared" si="10"/>
        <v>0</v>
      </c>
      <c r="H28" s="3">
        <f t="shared" ref="H28:H40" si="11">((0+0+(0+0)+0+0+0)+(0+0+(0+0)+0+0+0))</f>
        <v>0</v>
      </c>
      <c r="I28" s="3">
        <f>(((1507+43033+(1371373+1863398)+40769+93937+34297)+(0+0+(0+0)+0+0+0)+(0+0+(0+0)+0+0+0))-((0+0+(0+0)+0+0+0)+(0+0+(0+0)+0+0+0)))</f>
        <v>3448314</v>
      </c>
    </row>
    <row r="29" spans="1:9" ht="14" x14ac:dyDescent="0.3">
      <c r="A29" s="2" t="s">
        <v>15</v>
      </c>
      <c r="B29" s="3">
        <f>(175479+1485926+(1316137+1144814)+266776+742963+293367)</f>
        <v>5425462</v>
      </c>
      <c r="C29" s="3">
        <f>(0+0+(0+0)+0+0+0)</f>
        <v>0</v>
      </c>
      <c r="D29" s="3">
        <f t="shared" si="9"/>
        <v>0</v>
      </c>
      <c r="E29" s="3">
        <f>((175479+1485926+(1316137+1144814)+266776+742963+293367)+(0+0+(0+0)+0+0+0)+(0+0+(0+0)+0+0+0))</f>
        <v>5425462</v>
      </c>
      <c r="F29" s="3">
        <f t="shared" si="10"/>
        <v>0</v>
      </c>
      <c r="G29" s="3">
        <f t="shared" si="10"/>
        <v>0</v>
      </c>
      <c r="H29" s="3">
        <f t="shared" si="11"/>
        <v>0</v>
      </c>
      <c r="I29" s="3">
        <f>(((175479+1485926+(1316137+1144814)+266776+742963+293367)+(0+0+(0+0)+0+0+0)+(0+0+(0+0)+0+0+0))-((0+0+(0+0)+0+0+0)+(0+0+(0+0)+0+0+0)))</f>
        <v>5425462</v>
      </c>
    </row>
    <row r="30" spans="1:9" ht="14" x14ac:dyDescent="0.3">
      <c r="A30" s="2" t="s">
        <v>16</v>
      </c>
      <c r="B30" s="3">
        <f>(399+267352+(434452+637858)+52970+49787+19631)</f>
        <v>1462449</v>
      </c>
      <c r="C30" s="3">
        <f>(0+0+(0+0)+0+0+0)</f>
        <v>0</v>
      </c>
      <c r="D30" s="3">
        <f t="shared" si="9"/>
        <v>0</v>
      </c>
      <c r="E30" s="3">
        <f>((399+267352+(434452+637858)+52970+49787+19631)+(0+0+(0+0)+0+0+0)+(0+0+(0+0)+0+0+0))</f>
        <v>1462449</v>
      </c>
      <c r="F30" s="3">
        <f t="shared" si="10"/>
        <v>0</v>
      </c>
      <c r="G30" s="3">
        <f t="shared" si="10"/>
        <v>0</v>
      </c>
      <c r="H30" s="3">
        <f t="shared" si="11"/>
        <v>0</v>
      </c>
      <c r="I30" s="3">
        <f>(((399+267352+(434452+637858)+52970+49787+19631)+(0+0+(0+0)+0+0+0)+(0+0+(0+0)+0+0+0))-((0+0+(0+0)+0+0+0)+(0+0+(0+0)+0+0+0)))</f>
        <v>1462449</v>
      </c>
    </row>
    <row r="31" spans="1:9" ht="14" x14ac:dyDescent="0.3">
      <c r="A31" s="2" t="s">
        <v>17</v>
      </c>
      <c r="B31" s="3">
        <f>(5706+24125+(68300+210533)+1017+1431+2793)</f>
        <v>313905</v>
      </c>
      <c r="C31" s="3">
        <f>(0+51683+(0+0)+0+2402+0)</f>
        <v>54085</v>
      </c>
      <c r="D31" s="3">
        <f t="shared" si="9"/>
        <v>0</v>
      </c>
      <c r="E31" s="3">
        <f>((5706+24125+(68300+210533)+1017+1431+2793)+(0+51683+(0+0)+0+2402+0)+(0+0+(0+0)+0+0+0))</f>
        <v>367990</v>
      </c>
      <c r="F31" s="3">
        <f t="shared" si="10"/>
        <v>0</v>
      </c>
      <c r="G31" s="3">
        <f t="shared" si="10"/>
        <v>0</v>
      </c>
      <c r="H31" s="3">
        <f t="shared" si="11"/>
        <v>0</v>
      </c>
      <c r="I31" s="3">
        <f>(((5706+24125+(68300+210533)+1017+1431+2793)+(0+51683+(0+0)+0+2402+0)+(0+0+(0+0)+0+0+0))-((0+0+(0+0)+0+0+0)+(0+0+(0+0)+0+0+0)))</f>
        <v>367990</v>
      </c>
    </row>
    <row r="32" spans="1:9" ht="14" x14ac:dyDescent="0.3">
      <c r="A32" s="2" t="s">
        <v>18</v>
      </c>
      <c r="B32" s="3">
        <f>(7001+209509+(126583+29197)+22898+37343+6909)</f>
        <v>439440</v>
      </c>
      <c r="C32" s="3">
        <f t="shared" ref="C32:C40" si="12">(0+0+(0+0)+0+0+0)</f>
        <v>0</v>
      </c>
      <c r="D32" s="3">
        <f t="shared" si="9"/>
        <v>0</v>
      </c>
      <c r="E32" s="3">
        <f>((7001+209509+(126583+29197)+22898+37343+6909)+(0+0+(0+0)+0+0+0)+(0+0+(0+0)+0+0+0))</f>
        <v>439440</v>
      </c>
      <c r="F32" s="3">
        <f t="shared" si="10"/>
        <v>0</v>
      </c>
      <c r="G32" s="3">
        <f t="shared" si="10"/>
        <v>0</v>
      </c>
      <c r="H32" s="3">
        <f t="shared" si="11"/>
        <v>0</v>
      </c>
      <c r="I32" s="3">
        <f>(((7001+209509+(126583+29197)+22898+37343+6909)+(0+0+(0+0)+0+0+0)+(0+0+(0+0)+0+0+0))-((0+0+(0+0)+0+0+0)+(0+0+(0+0)+0+0+0)))</f>
        <v>439440</v>
      </c>
    </row>
    <row r="33" spans="1:9" ht="14" x14ac:dyDescent="0.3">
      <c r="A33" s="2" t="s">
        <v>19</v>
      </c>
      <c r="B33" s="3">
        <f>(90205+224475+(1247307+831537)+100501+216424+34317)</f>
        <v>2744766</v>
      </c>
      <c r="C33" s="3">
        <f t="shared" si="12"/>
        <v>0</v>
      </c>
      <c r="D33" s="3">
        <f t="shared" si="9"/>
        <v>0</v>
      </c>
      <c r="E33" s="3">
        <f>((90205+224475+(1247307+831537)+100501+216424+34317)+(0+0+(0+0)+0+0+0)+(0+0+(0+0)+0+0+0))</f>
        <v>2744766</v>
      </c>
      <c r="F33" s="3">
        <f t="shared" si="10"/>
        <v>0</v>
      </c>
      <c r="G33" s="3">
        <f t="shared" si="10"/>
        <v>0</v>
      </c>
      <c r="H33" s="3">
        <f t="shared" si="11"/>
        <v>0</v>
      </c>
      <c r="I33" s="3">
        <f>(((90205+224475+(1247307+831537)+100501+216424+34317)+(0+0+(0+0)+0+0+0)+(0+0+(0+0)+0+0+0))-((0+0+(0+0)+0+0+0)+(0+0+(0+0)+0+0+0)))</f>
        <v>2744766</v>
      </c>
    </row>
    <row r="34" spans="1:9" ht="14" x14ac:dyDescent="0.3">
      <c r="A34" s="2" t="s">
        <v>20</v>
      </c>
      <c r="B34" s="3">
        <f>(32942+113400+(55300+0)+79001+39054+40792)</f>
        <v>360489</v>
      </c>
      <c r="C34" s="3">
        <f t="shared" si="12"/>
        <v>0</v>
      </c>
      <c r="D34" s="3">
        <f t="shared" si="9"/>
        <v>0</v>
      </c>
      <c r="E34" s="3">
        <f>((32942+113400+(55300+0)+79001+39054+40792)+(0+0+(0+0)+0+0+0)+(0+0+(0+0)+0+0+0))</f>
        <v>360489</v>
      </c>
      <c r="F34" s="3">
        <f t="shared" si="10"/>
        <v>0</v>
      </c>
      <c r="G34" s="3">
        <f t="shared" si="10"/>
        <v>0</v>
      </c>
      <c r="H34" s="3">
        <f t="shared" si="11"/>
        <v>0</v>
      </c>
      <c r="I34" s="3">
        <f>(((32942+113400+(55300+0)+79001+39054+40792)+(0+0+(0+0)+0+0+0)+(0+0+(0+0)+0+0+0))-((0+0+(0+0)+0+0+0)+(0+0+(0+0)+0+0+0)))</f>
        <v>360489</v>
      </c>
    </row>
    <row r="35" spans="1:9" ht="14" x14ac:dyDescent="0.3">
      <c r="A35" s="2" t="s">
        <v>21</v>
      </c>
      <c r="B35" s="3">
        <f>(0+0+(0+0)+0+0+0)</f>
        <v>0</v>
      </c>
      <c r="C35" s="3">
        <f t="shared" si="12"/>
        <v>0</v>
      </c>
      <c r="D35" s="3">
        <f t="shared" si="9"/>
        <v>0</v>
      </c>
      <c r="E35" s="3">
        <f>((0+0+(0+0)+0+0+0)+(0+0+(0+0)+0+0+0)+(0+0+(0+0)+0+0+0))</f>
        <v>0</v>
      </c>
      <c r="F35" s="3">
        <f t="shared" si="10"/>
        <v>0</v>
      </c>
      <c r="G35" s="3">
        <f t="shared" si="10"/>
        <v>0</v>
      </c>
      <c r="H35" s="3">
        <f t="shared" si="11"/>
        <v>0</v>
      </c>
      <c r="I35" s="3">
        <f>(((0+0+(0+0)+0+0+0)+(0+0+(0+0)+0+0+0)+(0+0+(0+0)+0+0+0))-((0+0+(0+0)+0+0+0)+(0+0+(0+0)+0+0+0)))</f>
        <v>0</v>
      </c>
    </row>
    <row r="36" spans="1:9" ht="14" x14ac:dyDescent="0.3">
      <c r="A36" s="2" t="s">
        <v>22</v>
      </c>
      <c r="B36" s="3">
        <f>(890501+3351697+(935203+1203482)+308436+270505+528370)</f>
        <v>7488194</v>
      </c>
      <c r="C36" s="3">
        <f t="shared" si="12"/>
        <v>0</v>
      </c>
      <c r="D36" s="3">
        <f t="shared" si="9"/>
        <v>0</v>
      </c>
      <c r="E36" s="3">
        <f>((890501+3351697+(935203+1203482)+308436+270505+528370)+(0+0+(0+0)+0+0+0)+(0+0+(0+0)+0+0+0))</f>
        <v>7488194</v>
      </c>
      <c r="F36" s="3">
        <f t="shared" si="10"/>
        <v>0</v>
      </c>
      <c r="G36" s="3">
        <f t="shared" si="10"/>
        <v>0</v>
      </c>
      <c r="H36" s="3">
        <f t="shared" si="11"/>
        <v>0</v>
      </c>
      <c r="I36" s="3">
        <f>(((890501+3351697+(935203+1203482)+308436+270505+528370)+(0+0+(0+0)+0+0+0)+(0+0+(0+0)+0+0+0))-((0+0+(0+0)+0+0+0)+(0+0+(0+0)+0+0+0)))</f>
        <v>7488194</v>
      </c>
    </row>
    <row r="37" spans="1:9" ht="14" x14ac:dyDescent="0.3">
      <c r="A37" s="2" t="s">
        <v>23</v>
      </c>
      <c r="B37" s="3">
        <f>(16437+407889+(54831+0)+22737+65568+23469)</f>
        <v>590931</v>
      </c>
      <c r="C37" s="3">
        <f t="shared" si="12"/>
        <v>0</v>
      </c>
      <c r="D37" s="3">
        <f t="shared" si="9"/>
        <v>0</v>
      </c>
      <c r="E37" s="3">
        <f>((16437+407889+(54831+0)+22737+65568+23469)+(0+0+(0+0)+0+0+0)+(0+0+(0+0)+0+0+0))</f>
        <v>590931</v>
      </c>
      <c r="F37" s="3">
        <f t="shared" si="10"/>
        <v>0</v>
      </c>
      <c r="G37" s="3">
        <f t="shared" si="10"/>
        <v>0</v>
      </c>
      <c r="H37" s="3">
        <f t="shared" si="11"/>
        <v>0</v>
      </c>
      <c r="I37" s="3">
        <f>(((16437+407889+(54831+0)+22737+65568+23469)+(0+0+(0+0)+0+0+0)+(0+0+(0+0)+0+0+0))-((0+0+(0+0)+0+0+0)+(0+0+(0+0)+0+0+0)))</f>
        <v>590931</v>
      </c>
    </row>
    <row r="38" spans="1:9" ht="14" x14ac:dyDescent="0.3">
      <c r="A38" s="2" t="s">
        <v>24</v>
      </c>
      <c r="B38" s="3">
        <f>(179066+221926+(490620+458335)+166471+212999+51241)</f>
        <v>1780658</v>
      </c>
      <c r="C38" s="3">
        <f t="shared" si="12"/>
        <v>0</v>
      </c>
      <c r="D38" s="3">
        <f t="shared" si="9"/>
        <v>0</v>
      </c>
      <c r="E38" s="3">
        <f>((179066+221926+(490620+458335)+166471+212999+51241)+(0+0+(0+0)+0+0+0)+(0+0+(0+0)+0+0+0))</f>
        <v>1780658</v>
      </c>
      <c r="F38" s="3">
        <f t="shared" si="10"/>
        <v>0</v>
      </c>
      <c r="G38" s="3">
        <f t="shared" si="10"/>
        <v>0</v>
      </c>
      <c r="H38" s="3">
        <f t="shared" si="11"/>
        <v>0</v>
      </c>
      <c r="I38" s="3">
        <f>(((179066+221926+(490620+458335)+166471+212999+51241)+(0+0+(0+0)+0+0+0)+(0+0+(0+0)+0+0+0))-((0+0+(0+0)+0+0+0)+(0+0+(0+0)+0+0+0)))</f>
        <v>1780658</v>
      </c>
    </row>
    <row r="39" spans="1:9" ht="14" x14ac:dyDescent="0.3">
      <c r="A39" s="2" t="s">
        <v>25</v>
      </c>
      <c r="B39" s="3">
        <f>(198061+1825640+(2905842+1685750)+(-20)+552713+207059)</f>
        <v>7375045</v>
      </c>
      <c r="C39" s="3">
        <f t="shared" si="12"/>
        <v>0</v>
      </c>
      <c r="D39" s="3">
        <f t="shared" si="9"/>
        <v>0</v>
      </c>
      <c r="E39" s="3">
        <f>((198061+1825640+(2905842+1685750)+(-20)+552713+207059)+(0+0+(0+0)+0+0+0)+(0+0+(0+0)+0+0+0))</f>
        <v>7375045</v>
      </c>
      <c r="F39" s="3">
        <f t="shared" si="10"/>
        <v>0</v>
      </c>
      <c r="G39" s="3">
        <f t="shared" si="10"/>
        <v>0</v>
      </c>
      <c r="H39" s="3">
        <f t="shared" si="11"/>
        <v>0</v>
      </c>
      <c r="I39" s="3">
        <f>(((198061+1825640+(2905842+1685750)+(-20)+552713+207059)+(0+0+(0+0)+0+0+0)+(0+0+(0+0)+0+0+0))-((0+0+(0+0)+0+0+0)+(0+0+(0+0)+0+0+0)))</f>
        <v>7375045</v>
      </c>
    </row>
    <row r="40" spans="1:9" ht="14" x14ac:dyDescent="0.3">
      <c r="A40" s="2" t="s">
        <v>26</v>
      </c>
      <c r="B40" s="3">
        <f>(271405+403667+(1015159+297352)+208553+196477+739488)</f>
        <v>3132101</v>
      </c>
      <c r="C40" s="3">
        <f t="shared" si="12"/>
        <v>0</v>
      </c>
      <c r="D40" s="3">
        <f t="shared" si="9"/>
        <v>0</v>
      </c>
      <c r="E40" s="3">
        <f>((271405+403667+(1015159+297352)+208553+196477+739488)+(0+0+(0+0)+0+0+0)+(0+0+(0+0)+0+0+0))</f>
        <v>3132101</v>
      </c>
      <c r="F40" s="3">
        <f t="shared" si="10"/>
        <v>0</v>
      </c>
      <c r="G40" s="3">
        <f t="shared" si="10"/>
        <v>0</v>
      </c>
      <c r="H40" s="3">
        <f t="shared" si="11"/>
        <v>0</v>
      </c>
      <c r="I40" s="3">
        <f>(((271405+403667+(1015159+297352)+208553+196477+739488)+(0+0+(0+0)+0+0+0)+(0+0+(0+0)+0+0+0))-((0+0+(0+0)+0+0+0)+(0+0+(0+0)+0+0+0)))</f>
        <v>3132101</v>
      </c>
    </row>
    <row r="41" spans="1:9" ht="14" x14ac:dyDescent="0.3">
      <c r="A41" s="5" t="s">
        <v>28</v>
      </c>
      <c r="B41" s="5"/>
      <c r="C41" s="5"/>
      <c r="D41" s="5"/>
      <c r="E41" s="5"/>
      <c r="F41" s="5"/>
      <c r="G41" s="5"/>
      <c r="H41" s="5"/>
      <c r="I41" s="5"/>
    </row>
    <row r="42" spans="1:9" ht="14" x14ac:dyDescent="0.3">
      <c r="A42" s="4" t="s">
        <v>1</v>
      </c>
      <c r="B42" s="1" t="s">
        <v>2</v>
      </c>
      <c r="C42" s="1" t="s">
        <v>3</v>
      </c>
      <c r="D42" s="1" t="s">
        <v>4</v>
      </c>
      <c r="E42" s="1" t="s">
        <v>5</v>
      </c>
      <c r="F42" s="1" t="s">
        <v>6</v>
      </c>
      <c r="G42" s="1" t="s">
        <v>7</v>
      </c>
      <c r="H42" s="1" t="s">
        <v>8</v>
      </c>
      <c r="I42" s="1" t="s">
        <v>9</v>
      </c>
    </row>
    <row r="43" spans="1:9" ht="14" x14ac:dyDescent="0.3">
      <c r="A43" s="4"/>
      <c r="B43" s="1">
        <v>2023</v>
      </c>
      <c r="C43" s="1">
        <v>2023</v>
      </c>
      <c r="D43" s="1">
        <v>2023</v>
      </c>
      <c r="E43" s="1">
        <v>2023</v>
      </c>
      <c r="F43" s="1">
        <v>2023</v>
      </c>
      <c r="G43" s="1">
        <v>2023</v>
      </c>
      <c r="H43" s="1">
        <v>2023</v>
      </c>
      <c r="I43" s="1">
        <v>2023</v>
      </c>
    </row>
    <row r="44" spans="1:9" ht="14" x14ac:dyDescent="0.3">
      <c r="A44" s="2" t="s">
        <v>10</v>
      </c>
      <c r="B44" s="3">
        <f>37026</f>
        <v>37026</v>
      </c>
      <c r="C44" s="3">
        <f>0</f>
        <v>0</v>
      </c>
      <c r="D44" s="3">
        <f>0</f>
        <v>0</v>
      </c>
      <c r="E44" s="3">
        <f>(37026+0+0)</f>
        <v>37026</v>
      </c>
      <c r="F44" s="3">
        <f>0</f>
        <v>0</v>
      </c>
      <c r="G44" s="3">
        <f>0</f>
        <v>0</v>
      </c>
      <c r="H44" s="3">
        <f>(0+0)</f>
        <v>0</v>
      </c>
      <c r="I44" s="3">
        <f>((37026+0+0)-(0+0))</f>
        <v>37026</v>
      </c>
    </row>
    <row r="45" spans="1:9" ht="14" x14ac:dyDescent="0.3">
      <c r="A45" s="2" t="s">
        <v>11</v>
      </c>
      <c r="B45" s="3">
        <f>0</f>
        <v>0</v>
      </c>
      <c r="C45" s="3">
        <f>0</f>
        <v>0</v>
      </c>
      <c r="D45" s="3">
        <f>0</f>
        <v>0</v>
      </c>
      <c r="E45" s="3">
        <f>(0+0+0)</f>
        <v>0</v>
      </c>
      <c r="F45" s="3">
        <f>0</f>
        <v>0</v>
      </c>
      <c r="G45" s="3">
        <f>0</f>
        <v>0</v>
      </c>
      <c r="H45" s="3">
        <f>(0+0)</f>
        <v>0</v>
      </c>
      <c r="I45" s="3">
        <f>((0+0+0)-(0+0))</f>
        <v>0</v>
      </c>
    </row>
    <row r="46" spans="1:9" ht="14" x14ac:dyDescent="0.3">
      <c r="A46" s="2" t="s">
        <v>12</v>
      </c>
      <c r="B46" s="3">
        <f>429389</f>
        <v>429389</v>
      </c>
      <c r="C46" s="3">
        <f>0</f>
        <v>0</v>
      </c>
      <c r="D46" s="3">
        <f>0</f>
        <v>0</v>
      </c>
      <c r="E46" s="3">
        <f>(429389+0+0)</f>
        <v>429389</v>
      </c>
      <c r="F46" s="3">
        <f>0</f>
        <v>0</v>
      </c>
      <c r="G46" s="3">
        <f>0</f>
        <v>0</v>
      </c>
      <c r="H46" s="3">
        <f>(0+0)</f>
        <v>0</v>
      </c>
      <c r="I46" s="3">
        <f>((429389+0+0)-(0+0))</f>
        <v>429389</v>
      </c>
    </row>
    <row r="47" spans="1:9" ht="14" x14ac:dyDescent="0.3">
      <c r="A47" s="2" t="s">
        <v>13</v>
      </c>
      <c r="B47" s="3">
        <f>20560</f>
        <v>20560</v>
      </c>
      <c r="C47" s="3">
        <f>6570</f>
        <v>6570</v>
      </c>
      <c r="D47" s="3">
        <f>0</f>
        <v>0</v>
      </c>
      <c r="E47" s="3">
        <f>(20560+6570+0)</f>
        <v>27130</v>
      </c>
      <c r="F47" s="3">
        <f>37</f>
        <v>37</v>
      </c>
      <c r="G47" s="3">
        <f>0</f>
        <v>0</v>
      </c>
      <c r="H47" s="3">
        <f>(37+0)</f>
        <v>37</v>
      </c>
      <c r="I47" s="3">
        <f>((20560+6570+0)-(37+0))</f>
        <v>27093</v>
      </c>
    </row>
    <row r="48" spans="1:9" ht="14" x14ac:dyDescent="0.3">
      <c r="A48" s="2" t="s">
        <v>14</v>
      </c>
      <c r="B48" s="3">
        <f>1507</f>
        <v>1507</v>
      </c>
      <c r="C48" s="3">
        <f>0</f>
        <v>0</v>
      </c>
      <c r="D48" s="3">
        <f>0</f>
        <v>0</v>
      </c>
      <c r="E48" s="3">
        <f>(1507+0+0)</f>
        <v>1507</v>
      </c>
      <c r="F48" s="3">
        <f>0</f>
        <v>0</v>
      </c>
      <c r="G48" s="3">
        <f>0</f>
        <v>0</v>
      </c>
      <c r="H48" s="3">
        <f t="shared" ref="H48:H60" si="13">(0+0)</f>
        <v>0</v>
      </c>
      <c r="I48" s="3">
        <f>((1507+0+0)-(0+0))</f>
        <v>1507</v>
      </c>
    </row>
    <row r="49" spans="1:9" ht="14" x14ac:dyDescent="0.3">
      <c r="A49" s="2" t="s">
        <v>15</v>
      </c>
      <c r="B49" s="3">
        <f>175479</f>
        <v>175479</v>
      </c>
      <c r="C49" s="3">
        <f>0</f>
        <v>0</v>
      </c>
      <c r="D49" s="3">
        <f>0</f>
        <v>0</v>
      </c>
      <c r="E49" s="3">
        <f>(175479+0+0)</f>
        <v>175479</v>
      </c>
      <c r="F49" s="3">
        <f>0</f>
        <v>0</v>
      </c>
      <c r="G49" s="3">
        <f>0</f>
        <v>0</v>
      </c>
      <c r="H49" s="3">
        <f t="shared" si="13"/>
        <v>0</v>
      </c>
      <c r="I49" s="3">
        <f>((175479+0+0)-(0+0))</f>
        <v>175479</v>
      </c>
    </row>
    <row r="50" spans="1:9" ht="14" x14ac:dyDescent="0.3">
      <c r="A50" s="2" t="s">
        <v>16</v>
      </c>
      <c r="B50" s="3">
        <f>399</f>
        <v>399</v>
      </c>
      <c r="C50" s="3">
        <f>0</f>
        <v>0</v>
      </c>
      <c r="D50" s="3">
        <f>0</f>
        <v>0</v>
      </c>
      <c r="E50" s="3">
        <f>(399+0+0)</f>
        <v>399</v>
      </c>
      <c r="F50" s="3">
        <f>0</f>
        <v>0</v>
      </c>
      <c r="G50" s="3">
        <f>0</f>
        <v>0</v>
      </c>
      <c r="H50" s="3">
        <f t="shared" si="13"/>
        <v>0</v>
      </c>
      <c r="I50" s="3">
        <f>((399+0+0)-(0+0))</f>
        <v>399</v>
      </c>
    </row>
    <row r="51" spans="1:9" ht="14" x14ac:dyDescent="0.3">
      <c r="A51" s="2" t="s">
        <v>17</v>
      </c>
      <c r="B51" s="3">
        <f>5706</f>
        <v>5706</v>
      </c>
      <c r="C51" s="3">
        <f>0</f>
        <v>0</v>
      </c>
      <c r="D51" s="3">
        <f>0</f>
        <v>0</v>
      </c>
      <c r="E51" s="3">
        <f>(5706+0+0)</f>
        <v>5706</v>
      </c>
      <c r="F51" s="3">
        <f>0</f>
        <v>0</v>
      </c>
      <c r="G51" s="3">
        <f>0</f>
        <v>0</v>
      </c>
      <c r="H51" s="3">
        <f t="shared" si="13"/>
        <v>0</v>
      </c>
      <c r="I51" s="3">
        <f>((5706+0+0)-(0+0))</f>
        <v>5706</v>
      </c>
    </row>
    <row r="52" spans="1:9" ht="14" x14ac:dyDescent="0.3">
      <c r="A52" s="2" t="s">
        <v>18</v>
      </c>
      <c r="B52" s="3">
        <f>7001</f>
        <v>7001</v>
      </c>
      <c r="C52" s="3">
        <f>0</f>
        <v>0</v>
      </c>
      <c r="D52" s="3">
        <f>0</f>
        <v>0</v>
      </c>
      <c r="E52" s="3">
        <f>(7001+0+0)</f>
        <v>7001</v>
      </c>
      <c r="F52" s="3">
        <f>0</f>
        <v>0</v>
      </c>
      <c r="G52" s="3">
        <f>0</f>
        <v>0</v>
      </c>
      <c r="H52" s="3">
        <f t="shared" si="13"/>
        <v>0</v>
      </c>
      <c r="I52" s="3">
        <f>((7001+0+0)-(0+0))</f>
        <v>7001</v>
      </c>
    </row>
    <row r="53" spans="1:9" ht="14" x14ac:dyDescent="0.3">
      <c r="A53" s="2" t="s">
        <v>19</v>
      </c>
      <c r="B53" s="3">
        <f>90205</f>
        <v>90205</v>
      </c>
      <c r="C53" s="3">
        <f>0</f>
        <v>0</v>
      </c>
      <c r="D53" s="3">
        <f>0</f>
        <v>0</v>
      </c>
      <c r="E53" s="3">
        <f>(90205+0+0)</f>
        <v>90205</v>
      </c>
      <c r="F53" s="3">
        <f>0</f>
        <v>0</v>
      </c>
      <c r="G53" s="3">
        <f>0</f>
        <v>0</v>
      </c>
      <c r="H53" s="3">
        <f t="shared" si="13"/>
        <v>0</v>
      </c>
      <c r="I53" s="3">
        <f>((90205+0+0)-(0+0))</f>
        <v>90205</v>
      </c>
    </row>
    <row r="54" spans="1:9" ht="14" x14ac:dyDescent="0.3">
      <c r="A54" s="2" t="s">
        <v>20</v>
      </c>
      <c r="B54" s="3">
        <f>32942</f>
        <v>32942</v>
      </c>
      <c r="C54" s="3">
        <f>0</f>
        <v>0</v>
      </c>
      <c r="D54" s="3">
        <f>0</f>
        <v>0</v>
      </c>
      <c r="E54" s="3">
        <f>(32942+0+0)</f>
        <v>32942</v>
      </c>
      <c r="F54" s="3">
        <f>0</f>
        <v>0</v>
      </c>
      <c r="G54" s="3">
        <f>0</f>
        <v>0</v>
      </c>
      <c r="H54" s="3">
        <f t="shared" si="13"/>
        <v>0</v>
      </c>
      <c r="I54" s="3">
        <f>((32942+0+0)-(0+0))</f>
        <v>32942</v>
      </c>
    </row>
    <row r="55" spans="1:9" ht="14" x14ac:dyDescent="0.3">
      <c r="A55" s="2" t="s">
        <v>21</v>
      </c>
      <c r="B55" s="3">
        <f>0</f>
        <v>0</v>
      </c>
      <c r="C55" s="3">
        <f>0</f>
        <v>0</v>
      </c>
      <c r="D55" s="3">
        <f>0</f>
        <v>0</v>
      </c>
      <c r="E55" s="3">
        <f>(0+0+0)</f>
        <v>0</v>
      </c>
      <c r="F55" s="3">
        <f>0</f>
        <v>0</v>
      </c>
      <c r="G55" s="3">
        <f>0</f>
        <v>0</v>
      </c>
      <c r="H55" s="3">
        <f t="shared" si="13"/>
        <v>0</v>
      </c>
      <c r="I55" s="3">
        <f>((0+0+0)-(0+0))</f>
        <v>0</v>
      </c>
    </row>
    <row r="56" spans="1:9" ht="14" x14ac:dyDescent="0.3">
      <c r="A56" s="2" t="s">
        <v>22</v>
      </c>
      <c r="B56" s="3">
        <f>890501</f>
        <v>890501</v>
      </c>
      <c r="C56" s="3">
        <f>0</f>
        <v>0</v>
      </c>
      <c r="D56" s="3">
        <f>0</f>
        <v>0</v>
      </c>
      <c r="E56" s="3">
        <f>(890501+0+0)</f>
        <v>890501</v>
      </c>
      <c r="F56" s="3">
        <f>0</f>
        <v>0</v>
      </c>
      <c r="G56" s="3">
        <f>0</f>
        <v>0</v>
      </c>
      <c r="H56" s="3">
        <f t="shared" si="13"/>
        <v>0</v>
      </c>
      <c r="I56" s="3">
        <f>((890501+0+0)-(0+0))</f>
        <v>890501</v>
      </c>
    </row>
    <row r="57" spans="1:9" ht="14" x14ac:dyDescent="0.3">
      <c r="A57" s="2" t="s">
        <v>23</v>
      </c>
      <c r="B57" s="3">
        <f>16437</f>
        <v>16437</v>
      </c>
      <c r="C57" s="3">
        <f>0</f>
        <v>0</v>
      </c>
      <c r="D57" s="3">
        <f>0</f>
        <v>0</v>
      </c>
      <c r="E57" s="3">
        <f>(16437+0+0)</f>
        <v>16437</v>
      </c>
      <c r="F57" s="3">
        <f>0</f>
        <v>0</v>
      </c>
      <c r="G57" s="3">
        <f>0</f>
        <v>0</v>
      </c>
      <c r="H57" s="3">
        <f t="shared" si="13"/>
        <v>0</v>
      </c>
      <c r="I57" s="3">
        <f>((16437+0+0)-(0+0))</f>
        <v>16437</v>
      </c>
    </row>
    <row r="58" spans="1:9" ht="14" x14ac:dyDescent="0.3">
      <c r="A58" s="2" t="s">
        <v>24</v>
      </c>
      <c r="B58" s="3">
        <f>179066</f>
        <v>179066</v>
      </c>
      <c r="C58" s="3">
        <f>0</f>
        <v>0</v>
      </c>
      <c r="D58" s="3">
        <f>0</f>
        <v>0</v>
      </c>
      <c r="E58" s="3">
        <f>(179066+0+0)</f>
        <v>179066</v>
      </c>
      <c r="F58" s="3">
        <f>0</f>
        <v>0</v>
      </c>
      <c r="G58" s="3">
        <f>0</f>
        <v>0</v>
      </c>
      <c r="H58" s="3">
        <f t="shared" si="13"/>
        <v>0</v>
      </c>
      <c r="I58" s="3">
        <f>((179066+0+0)-(0+0))</f>
        <v>179066</v>
      </c>
    </row>
    <row r="59" spans="1:9" ht="14" x14ac:dyDescent="0.3">
      <c r="A59" s="2" t="s">
        <v>25</v>
      </c>
      <c r="B59" s="3">
        <f>198061</f>
        <v>198061</v>
      </c>
      <c r="C59" s="3">
        <f>0</f>
        <v>0</v>
      </c>
      <c r="D59" s="3">
        <f>0</f>
        <v>0</v>
      </c>
      <c r="E59" s="3">
        <f>(198061+0+0)</f>
        <v>198061</v>
      </c>
      <c r="F59" s="3">
        <f>0</f>
        <v>0</v>
      </c>
      <c r="G59" s="3">
        <f>0</f>
        <v>0</v>
      </c>
      <c r="H59" s="3">
        <f t="shared" si="13"/>
        <v>0</v>
      </c>
      <c r="I59" s="3">
        <f>((198061+0+0)-(0+0))</f>
        <v>198061</v>
      </c>
    </row>
    <row r="60" spans="1:9" ht="14" x14ac:dyDescent="0.3">
      <c r="A60" s="2" t="s">
        <v>26</v>
      </c>
      <c r="B60" s="3">
        <f>271405</f>
        <v>271405</v>
      </c>
      <c r="C60" s="3">
        <f>0</f>
        <v>0</v>
      </c>
      <c r="D60" s="3">
        <f>0</f>
        <v>0</v>
      </c>
      <c r="E60" s="3">
        <f>(271405+0+0)</f>
        <v>271405</v>
      </c>
      <c r="F60" s="3">
        <f>0</f>
        <v>0</v>
      </c>
      <c r="G60" s="3">
        <f>0</f>
        <v>0</v>
      </c>
      <c r="H60" s="3">
        <f t="shared" si="13"/>
        <v>0</v>
      </c>
      <c r="I60" s="3">
        <f>((271405+0+0)-(0+0))</f>
        <v>271405</v>
      </c>
    </row>
    <row r="61" spans="1:9" ht="14" x14ac:dyDescent="0.3">
      <c r="A61" s="5" t="s">
        <v>29</v>
      </c>
      <c r="B61" s="5"/>
      <c r="C61" s="5"/>
      <c r="D61" s="5"/>
      <c r="E61" s="5"/>
      <c r="F61" s="5"/>
      <c r="G61" s="5"/>
      <c r="H61" s="5"/>
      <c r="I61" s="5"/>
    </row>
    <row r="62" spans="1:9" ht="14" x14ac:dyDescent="0.3">
      <c r="A62" s="4" t="s">
        <v>1</v>
      </c>
      <c r="B62" s="1" t="s">
        <v>2</v>
      </c>
      <c r="C62" s="1" t="s">
        <v>3</v>
      </c>
      <c r="D62" s="1" t="s">
        <v>4</v>
      </c>
      <c r="E62" s="1" t="s">
        <v>5</v>
      </c>
      <c r="F62" s="1" t="s">
        <v>6</v>
      </c>
      <c r="G62" s="1" t="s">
        <v>7</v>
      </c>
      <c r="H62" s="1" t="s">
        <v>8</v>
      </c>
      <c r="I62" s="1" t="s">
        <v>9</v>
      </c>
    </row>
    <row r="63" spans="1:9" ht="14" x14ac:dyDescent="0.3">
      <c r="A63" s="4"/>
      <c r="B63" s="1">
        <v>2023</v>
      </c>
      <c r="C63" s="1">
        <v>2023</v>
      </c>
      <c r="D63" s="1">
        <v>2023</v>
      </c>
      <c r="E63" s="1">
        <v>2023</v>
      </c>
      <c r="F63" s="1">
        <v>2023</v>
      </c>
      <c r="G63" s="1">
        <v>2023</v>
      </c>
      <c r="H63" s="1">
        <v>2023</v>
      </c>
      <c r="I63" s="1">
        <v>2023</v>
      </c>
    </row>
    <row r="64" spans="1:9" ht="14" x14ac:dyDescent="0.3">
      <c r="A64" s="2" t="s">
        <v>10</v>
      </c>
      <c r="B64" s="3">
        <f>580797</f>
        <v>580797</v>
      </c>
      <c r="C64" s="3">
        <f>0</f>
        <v>0</v>
      </c>
      <c r="D64" s="3">
        <f>0</f>
        <v>0</v>
      </c>
      <c r="E64" s="3">
        <f>(580797+0+0)</f>
        <v>580797</v>
      </c>
      <c r="F64" s="3">
        <f>0</f>
        <v>0</v>
      </c>
      <c r="G64" s="3">
        <f>0</f>
        <v>0</v>
      </c>
      <c r="H64" s="3">
        <f>(0+0)</f>
        <v>0</v>
      </c>
      <c r="I64" s="3">
        <f>((580797+0+0)-(0+0))</f>
        <v>580797</v>
      </c>
    </row>
    <row r="65" spans="1:9" ht="14" x14ac:dyDescent="0.3">
      <c r="A65" s="2" t="s">
        <v>11</v>
      </c>
      <c r="B65" s="3">
        <f>0</f>
        <v>0</v>
      </c>
      <c r="C65" s="3">
        <f>0</f>
        <v>0</v>
      </c>
      <c r="D65" s="3">
        <f>0</f>
        <v>0</v>
      </c>
      <c r="E65" s="3">
        <f>(0+0+0)</f>
        <v>0</v>
      </c>
      <c r="F65" s="3">
        <f>0</f>
        <v>0</v>
      </c>
      <c r="G65" s="3">
        <f>0</f>
        <v>0</v>
      </c>
      <c r="H65" s="3">
        <f>(0+0)</f>
        <v>0</v>
      </c>
      <c r="I65" s="3">
        <f>((0+0+0)-(0+0))</f>
        <v>0</v>
      </c>
    </row>
    <row r="66" spans="1:9" ht="14" x14ac:dyDescent="0.3">
      <c r="A66" s="2" t="s">
        <v>12</v>
      </c>
      <c r="B66" s="3">
        <f>846581</f>
        <v>846581</v>
      </c>
      <c r="C66" s="3">
        <f>0</f>
        <v>0</v>
      </c>
      <c r="D66" s="3">
        <f>0</f>
        <v>0</v>
      </c>
      <c r="E66" s="3">
        <f>(846581+0+0)</f>
        <v>846581</v>
      </c>
      <c r="F66" s="3">
        <f>0</f>
        <v>0</v>
      </c>
      <c r="G66" s="3">
        <f>0</f>
        <v>0</v>
      </c>
      <c r="H66" s="3">
        <f>(0+0)</f>
        <v>0</v>
      </c>
      <c r="I66" s="3">
        <f>((846581+0+0)-(0+0))</f>
        <v>846581</v>
      </c>
    </row>
    <row r="67" spans="1:9" ht="14" x14ac:dyDescent="0.3">
      <c r="A67" s="2" t="s">
        <v>13</v>
      </c>
      <c r="B67" s="3">
        <f>184858</f>
        <v>184858</v>
      </c>
      <c r="C67" s="3">
        <f>58594</f>
        <v>58594</v>
      </c>
      <c r="D67" s="3">
        <f>0</f>
        <v>0</v>
      </c>
      <c r="E67" s="3">
        <f>(184858+58594+0)</f>
        <v>243452</v>
      </c>
      <c r="F67" s="3">
        <f>21072</f>
        <v>21072</v>
      </c>
      <c r="G67" s="3">
        <f>97484</f>
        <v>97484</v>
      </c>
      <c r="H67" s="3">
        <f>(21072+97484)</f>
        <v>118556</v>
      </c>
      <c r="I67" s="3">
        <f>((184858+58594+0)-(21072+97484))</f>
        <v>124896</v>
      </c>
    </row>
    <row r="68" spans="1:9" ht="14" x14ac:dyDescent="0.3">
      <c r="A68" s="2" t="s">
        <v>14</v>
      </c>
      <c r="B68" s="3">
        <f>43033</f>
        <v>43033</v>
      </c>
      <c r="C68" s="3">
        <f>0</f>
        <v>0</v>
      </c>
      <c r="D68" s="3">
        <f>0</f>
        <v>0</v>
      </c>
      <c r="E68" s="3">
        <f>(43033+0+0)</f>
        <v>43033</v>
      </c>
      <c r="F68" s="3">
        <f>0</f>
        <v>0</v>
      </c>
      <c r="G68" s="3">
        <f>0</f>
        <v>0</v>
      </c>
      <c r="H68" s="3">
        <f t="shared" ref="H68:H80" si="14">(0+0)</f>
        <v>0</v>
      </c>
      <c r="I68" s="3">
        <f>((43033+0+0)-(0+0))</f>
        <v>43033</v>
      </c>
    </row>
    <row r="69" spans="1:9" ht="14" x14ac:dyDescent="0.3">
      <c r="A69" s="2" t="s">
        <v>15</v>
      </c>
      <c r="B69" s="3">
        <f>1485926</f>
        <v>1485926</v>
      </c>
      <c r="C69" s="3">
        <f>0</f>
        <v>0</v>
      </c>
      <c r="D69" s="3">
        <f>0</f>
        <v>0</v>
      </c>
      <c r="E69" s="3">
        <f>(1485926+0+0)</f>
        <v>1485926</v>
      </c>
      <c r="F69" s="3">
        <f>0</f>
        <v>0</v>
      </c>
      <c r="G69" s="3">
        <f>0</f>
        <v>0</v>
      </c>
      <c r="H69" s="3">
        <f t="shared" si="14"/>
        <v>0</v>
      </c>
      <c r="I69" s="3">
        <f>((1485926+0+0)-(0+0))</f>
        <v>1485926</v>
      </c>
    </row>
    <row r="70" spans="1:9" ht="14" x14ac:dyDescent="0.3">
      <c r="A70" s="2" t="s">
        <v>16</v>
      </c>
      <c r="B70" s="3">
        <f>267352</f>
        <v>267352</v>
      </c>
      <c r="C70" s="3">
        <f>0</f>
        <v>0</v>
      </c>
      <c r="D70" s="3">
        <f>0</f>
        <v>0</v>
      </c>
      <c r="E70" s="3">
        <f>(267352+0+0)</f>
        <v>267352</v>
      </c>
      <c r="F70" s="3">
        <f>0</f>
        <v>0</v>
      </c>
      <c r="G70" s="3">
        <f>0</f>
        <v>0</v>
      </c>
      <c r="H70" s="3">
        <f t="shared" si="14"/>
        <v>0</v>
      </c>
      <c r="I70" s="3">
        <f>((267352+0+0)-(0+0))</f>
        <v>267352</v>
      </c>
    </row>
    <row r="71" spans="1:9" ht="14" x14ac:dyDescent="0.3">
      <c r="A71" s="2" t="s">
        <v>17</v>
      </c>
      <c r="B71" s="3">
        <f>24125</f>
        <v>24125</v>
      </c>
      <c r="C71" s="3">
        <f>51683</f>
        <v>51683</v>
      </c>
      <c r="D71" s="3">
        <f>0</f>
        <v>0</v>
      </c>
      <c r="E71" s="3">
        <f>(24125+51683+0)</f>
        <v>75808</v>
      </c>
      <c r="F71" s="3">
        <f>0</f>
        <v>0</v>
      </c>
      <c r="G71" s="3">
        <f>0</f>
        <v>0</v>
      </c>
      <c r="H71" s="3">
        <f t="shared" si="14"/>
        <v>0</v>
      </c>
      <c r="I71" s="3">
        <f>((24125+51683+0)-(0+0))</f>
        <v>75808</v>
      </c>
    </row>
    <row r="72" spans="1:9" ht="14" x14ac:dyDescent="0.3">
      <c r="A72" s="2" t="s">
        <v>18</v>
      </c>
      <c r="B72" s="3">
        <f>209509</f>
        <v>209509</v>
      </c>
      <c r="C72" s="3">
        <f>0</f>
        <v>0</v>
      </c>
      <c r="D72" s="3">
        <f>0</f>
        <v>0</v>
      </c>
      <c r="E72" s="3">
        <f>(209509+0+0)</f>
        <v>209509</v>
      </c>
      <c r="F72" s="3">
        <f>0</f>
        <v>0</v>
      </c>
      <c r="G72" s="3">
        <f>0</f>
        <v>0</v>
      </c>
      <c r="H72" s="3">
        <f t="shared" si="14"/>
        <v>0</v>
      </c>
      <c r="I72" s="3">
        <f>((209509+0+0)-(0+0))</f>
        <v>209509</v>
      </c>
    </row>
    <row r="73" spans="1:9" ht="14" x14ac:dyDescent="0.3">
      <c r="A73" s="2" t="s">
        <v>19</v>
      </c>
      <c r="B73" s="3">
        <f>224475</f>
        <v>224475</v>
      </c>
      <c r="C73" s="3">
        <f>0</f>
        <v>0</v>
      </c>
      <c r="D73" s="3">
        <f>0</f>
        <v>0</v>
      </c>
      <c r="E73" s="3">
        <f>(224475+0+0)</f>
        <v>224475</v>
      </c>
      <c r="F73" s="3">
        <f>0</f>
        <v>0</v>
      </c>
      <c r="G73" s="3">
        <f>0</f>
        <v>0</v>
      </c>
      <c r="H73" s="3">
        <f t="shared" si="14"/>
        <v>0</v>
      </c>
      <c r="I73" s="3">
        <f>((224475+0+0)-(0+0))</f>
        <v>224475</v>
      </c>
    </row>
    <row r="74" spans="1:9" ht="14" x14ac:dyDescent="0.3">
      <c r="A74" s="2" t="s">
        <v>20</v>
      </c>
      <c r="B74" s="3">
        <f>113400</f>
        <v>113400</v>
      </c>
      <c r="C74" s="3">
        <f>0</f>
        <v>0</v>
      </c>
      <c r="D74" s="3">
        <f>0</f>
        <v>0</v>
      </c>
      <c r="E74" s="3">
        <f>(113400+0+0)</f>
        <v>113400</v>
      </c>
      <c r="F74" s="3">
        <f>0</f>
        <v>0</v>
      </c>
      <c r="G74" s="3">
        <f>0</f>
        <v>0</v>
      </c>
      <c r="H74" s="3">
        <f t="shared" si="14"/>
        <v>0</v>
      </c>
      <c r="I74" s="3">
        <f>((113400+0+0)-(0+0))</f>
        <v>113400</v>
      </c>
    </row>
    <row r="75" spans="1:9" ht="14" x14ac:dyDescent="0.3">
      <c r="A75" s="2" t="s">
        <v>21</v>
      </c>
      <c r="B75" s="3">
        <f>0</f>
        <v>0</v>
      </c>
      <c r="C75" s="3">
        <f>0</f>
        <v>0</v>
      </c>
      <c r="D75" s="3">
        <f>0</f>
        <v>0</v>
      </c>
      <c r="E75" s="3">
        <f>(0+0+0)</f>
        <v>0</v>
      </c>
      <c r="F75" s="3">
        <f>0</f>
        <v>0</v>
      </c>
      <c r="G75" s="3">
        <f>0</f>
        <v>0</v>
      </c>
      <c r="H75" s="3">
        <f t="shared" si="14"/>
        <v>0</v>
      </c>
      <c r="I75" s="3">
        <f>((0+0+0)-(0+0))</f>
        <v>0</v>
      </c>
    </row>
    <row r="76" spans="1:9" ht="14" x14ac:dyDescent="0.3">
      <c r="A76" s="2" t="s">
        <v>22</v>
      </c>
      <c r="B76" s="3">
        <f>3351697</f>
        <v>3351697</v>
      </c>
      <c r="C76" s="3">
        <f>0</f>
        <v>0</v>
      </c>
      <c r="D76" s="3">
        <f>0</f>
        <v>0</v>
      </c>
      <c r="E76" s="3">
        <f>(3351697+0+0)</f>
        <v>3351697</v>
      </c>
      <c r="F76" s="3">
        <f>0</f>
        <v>0</v>
      </c>
      <c r="G76" s="3">
        <f>0</f>
        <v>0</v>
      </c>
      <c r="H76" s="3">
        <f t="shared" si="14"/>
        <v>0</v>
      </c>
      <c r="I76" s="3">
        <f>((3351697+0+0)-(0+0))</f>
        <v>3351697</v>
      </c>
    </row>
    <row r="77" spans="1:9" ht="14" x14ac:dyDescent="0.3">
      <c r="A77" s="2" t="s">
        <v>23</v>
      </c>
      <c r="B77" s="3">
        <f>407889</f>
        <v>407889</v>
      </c>
      <c r="C77" s="3">
        <f>0</f>
        <v>0</v>
      </c>
      <c r="D77" s="3">
        <f>0</f>
        <v>0</v>
      </c>
      <c r="E77" s="3">
        <f>(407889+0+0)</f>
        <v>407889</v>
      </c>
      <c r="F77" s="3">
        <f>0</f>
        <v>0</v>
      </c>
      <c r="G77" s="3">
        <f>0</f>
        <v>0</v>
      </c>
      <c r="H77" s="3">
        <f t="shared" si="14"/>
        <v>0</v>
      </c>
      <c r="I77" s="3">
        <f>((407889+0+0)-(0+0))</f>
        <v>407889</v>
      </c>
    </row>
    <row r="78" spans="1:9" ht="14" x14ac:dyDescent="0.3">
      <c r="A78" s="2" t="s">
        <v>24</v>
      </c>
      <c r="B78" s="3">
        <f>221926</f>
        <v>221926</v>
      </c>
      <c r="C78" s="3">
        <f>0</f>
        <v>0</v>
      </c>
      <c r="D78" s="3">
        <f>0</f>
        <v>0</v>
      </c>
      <c r="E78" s="3">
        <f>(221926+0+0)</f>
        <v>221926</v>
      </c>
      <c r="F78" s="3">
        <f>0</f>
        <v>0</v>
      </c>
      <c r="G78" s="3">
        <f>0</f>
        <v>0</v>
      </c>
      <c r="H78" s="3">
        <f t="shared" si="14"/>
        <v>0</v>
      </c>
      <c r="I78" s="3">
        <f>((221926+0+0)-(0+0))</f>
        <v>221926</v>
      </c>
    </row>
    <row r="79" spans="1:9" ht="14" x14ac:dyDescent="0.3">
      <c r="A79" s="2" t="s">
        <v>25</v>
      </c>
      <c r="B79" s="3">
        <f>1825640</f>
        <v>1825640</v>
      </c>
      <c r="C79" s="3">
        <f>0</f>
        <v>0</v>
      </c>
      <c r="D79" s="3">
        <f>0</f>
        <v>0</v>
      </c>
      <c r="E79" s="3">
        <f>(1825640+0+0)</f>
        <v>1825640</v>
      </c>
      <c r="F79" s="3">
        <f>0</f>
        <v>0</v>
      </c>
      <c r="G79" s="3">
        <f>0</f>
        <v>0</v>
      </c>
      <c r="H79" s="3">
        <f t="shared" si="14"/>
        <v>0</v>
      </c>
      <c r="I79" s="3">
        <f>((1825640+0+0)-(0+0))</f>
        <v>1825640</v>
      </c>
    </row>
    <row r="80" spans="1:9" ht="14" x14ac:dyDescent="0.3">
      <c r="A80" s="2" t="s">
        <v>26</v>
      </c>
      <c r="B80" s="3">
        <f>403667</f>
        <v>403667</v>
      </c>
      <c r="C80" s="3">
        <f>0</f>
        <v>0</v>
      </c>
      <c r="D80" s="3">
        <f>0</f>
        <v>0</v>
      </c>
      <c r="E80" s="3">
        <f>(403667+0+0)</f>
        <v>403667</v>
      </c>
      <c r="F80" s="3">
        <f>0</f>
        <v>0</v>
      </c>
      <c r="G80" s="3">
        <f>0</f>
        <v>0</v>
      </c>
      <c r="H80" s="3">
        <f t="shared" si="14"/>
        <v>0</v>
      </c>
      <c r="I80" s="3">
        <f>((403667+0+0)-(0+0))</f>
        <v>403667</v>
      </c>
    </row>
    <row r="81" spans="1:9" ht="14" x14ac:dyDescent="0.3">
      <c r="A81" s="5" t="s">
        <v>30</v>
      </c>
      <c r="B81" s="5"/>
      <c r="C81" s="5"/>
      <c r="D81" s="5"/>
      <c r="E81" s="5"/>
      <c r="F81" s="5"/>
      <c r="G81" s="5"/>
      <c r="H81" s="5"/>
      <c r="I81" s="5"/>
    </row>
    <row r="82" spans="1:9" ht="14" x14ac:dyDescent="0.3">
      <c r="A82" s="4" t="s">
        <v>1</v>
      </c>
      <c r="B82" s="1" t="s">
        <v>2</v>
      </c>
      <c r="C82" s="1" t="s">
        <v>3</v>
      </c>
      <c r="D82" s="1" t="s">
        <v>4</v>
      </c>
      <c r="E82" s="1" t="s">
        <v>5</v>
      </c>
      <c r="F82" s="1" t="s">
        <v>6</v>
      </c>
      <c r="G82" s="1" t="s">
        <v>7</v>
      </c>
      <c r="H82" s="1" t="s">
        <v>8</v>
      </c>
      <c r="I82" s="1" t="s">
        <v>9</v>
      </c>
    </row>
    <row r="83" spans="1:9" ht="14" x14ac:dyDescent="0.3">
      <c r="A83" s="4"/>
      <c r="B83" s="1">
        <v>2023</v>
      </c>
      <c r="C83" s="1">
        <v>2023</v>
      </c>
      <c r="D83" s="1">
        <v>2023</v>
      </c>
      <c r="E83" s="1">
        <v>2023</v>
      </c>
      <c r="F83" s="1">
        <v>2023</v>
      </c>
      <c r="G83" s="1">
        <v>2023</v>
      </c>
      <c r="H83" s="1">
        <v>2023</v>
      </c>
      <c r="I83" s="1">
        <v>2023</v>
      </c>
    </row>
    <row r="84" spans="1:9" ht="14" x14ac:dyDescent="0.3">
      <c r="A84" s="2" t="s">
        <v>10</v>
      </c>
      <c r="B84" s="3">
        <f>1029888</f>
        <v>1029888</v>
      </c>
      <c r="C84" s="3">
        <f>0</f>
        <v>0</v>
      </c>
      <c r="D84" s="3">
        <f>0</f>
        <v>0</v>
      </c>
      <c r="E84" s="3">
        <f>(1029888+0+0)</f>
        <v>1029888</v>
      </c>
      <c r="F84" s="3">
        <f>0</f>
        <v>0</v>
      </c>
      <c r="G84" s="3">
        <f>0</f>
        <v>0</v>
      </c>
      <c r="H84" s="3">
        <f>(0+0)</f>
        <v>0</v>
      </c>
      <c r="I84" s="3">
        <f>((1029888+0+0)-(0+0))</f>
        <v>1029888</v>
      </c>
    </row>
    <row r="85" spans="1:9" ht="14" x14ac:dyDescent="0.3">
      <c r="A85" s="2" t="s">
        <v>11</v>
      </c>
      <c r="B85" s="3">
        <f>0</f>
        <v>0</v>
      </c>
      <c r="C85" s="3">
        <f>0</f>
        <v>0</v>
      </c>
      <c r="D85" s="3">
        <f>0</f>
        <v>0</v>
      </c>
      <c r="E85" s="3">
        <f>(0+0+0)</f>
        <v>0</v>
      </c>
      <c r="F85" s="3">
        <f>0</f>
        <v>0</v>
      </c>
      <c r="G85" s="3">
        <f>0</f>
        <v>0</v>
      </c>
      <c r="H85" s="3">
        <f>(0+0)</f>
        <v>0</v>
      </c>
      <c r="I85" s="3">
        <f>((0+0+0)-(0+0))</f>
        <v>0</v>
      </c>
    </row>
    <row r="86" spans="1:9" ht="14" x14ac:dyDescent="0.3">
      <c r="A86" s="2" t="s">
        <v>12</v>
      </c>
      <c r="B86" s="3">
        <f>1117453</f>
        <v>1117453</v>
      </c>
      <c r="C86" s="3">
        <f>0</f>
        <v>0</v>
      </c>
      <c r="D86" s="3">
        <f>0</f>
        <v>0</v>
      </c>
      <c r="E86" s="3">
        <f>(1117453+0+0)</f>
        <v>1117453</v>
      </c>
      <c r="F86" s="3">
        <f>0</f>
        <v>0</v>
      </c>
      <c r="G86" s="3">
        <f>0</f>
        <v>0</v>
      </c>
      <c r="H86" s="3">
        <f>(0+0)</f>
        <v>0</v>
      </c>
      <c r="I86" s="3">
        <f>((1117453+0+0)-(0+0))</f>
        <v>1117453</v>
      </c>
    </row>
    <row r="87" spans="1:9" ht="14" x14ac:dyDescent="0.3">
      <c r="A87" s="2" t="s">
        <v>13</v>
      </c>
      <c r="B87" s="3">
        <f>212161</f>
        <v>212161</v>
      </c>
      <c r="C87" s="3">
        <f>0</f>
        <v>0</v>
      </c>
      <c r="D87" s="3">
        <f>0</f>
        <v>0</v>
      </c>
      <c r="E87" s="3">
        <f>(212161+0+0)</f>
        <v>212161</v>
      </c>
      <c r="F87" s="3">
        <f>0</f>
        <v>0</v>
      </c>
      <c r="G87" s="3">
        <f>6443</f>
        <v>6443</v>
      </c>
      <c r="H87" s="3">
        <f>(0+6443)</f>
        <v>6443</v>
      </c>
      <c r="I87" s="3">
        <f>((212161+0+0)-(0+6443))</f>
        <v>205718</v>
      </c>
    </row>
    <row r="88" spans="1:9" ht="14" x14ac:dyDescent="0.3">
      <c r="A88" s="2" t="s">
        <v>14</v>
      </c>
      <c r="B88" s="3">
        <f>1371373</f>
        <v>1371373</v>
      </c>
      <c r="C88" s="3">
        <f>0</f>
        <v>0</v>
      </c>
      <c r="D88" s="3">
        <f>0</f>
        <v>0</v>
      </c>
      <c r="E88" s="3">
        <f>(1371373+0+0)</f>
        <v>1371373</v>
      </c>
      <c r="F88" s="3">
        <f>0</f>
        <v>0</v>
      </c>
      <c r="G88" s="3">
        <f>0</f>
        <v>0</v>
      </c>
      <c r="H88" s="3">
        <f t="shared" ref="H88:H100" si="15">(0+0)</f>
        <v>0</v>
      </c>
      <c r="I88" s="3">
        <f>((1371373+0+0)-(0+0))</f>
        <v>1371373</v>
      </c>
    </row>
    <row r="89" spans="1:9" ht="14" x14ac:dyDescent="0.3">
      <c r="A89" s="2" t="s">
        <v>15</v>
      </c>
      <c r="B89" s="3">
        <f>1316137</f>
        <v>1316137</v>
      </c>
      <c r="C89" s="3">
        <f>0</f>
        <v>0</v>
      </c>
      <c r="D89" s="3">
        <f>0</f>
        <v>0</v>
      </c>
      <c r="E89" s="3">
        <f>(1316137+0+0)</f>
        <v>1316137</v>
      </c>
      <c r="F89" s="3">
        <f>0</f>
        <v>0</v>
      </c>
      <c r="G89" s="3">
        <f>0</f>
        <v>0</v>
      </c>
      <c r="H89" s="3">
        <f t="shared" si="15"/>
        <v>0</v>
      </c>
      <c r="I89" s="3">
        <f>((1316137+0+0)-(0+0))</f>
        <v>1316137</v>
      </c>
    </row>
    <row r="90" spans="1:9" ht="14" x14ac:dyDescent="0.3">
      <c r="A90" s="2" t="s">
        <v>16</v>
      </c>
      <c r="B90" s="3">
        <f>434452</f>
        <v>434452</v>
      </c>
      <c r="C90" s="3">
        <f>0</f>
        <v>0</v>
      </c>
      <c r="D90" s="3">
        <f>0</f>
        <v>0</v>
      </c>
      <c r="E90" s="3">
        <f>(434452+0+0)</f>
        <v>434452</v>
      </c>
      <c r="F90" s="3">
        <f>0</f>
        <v>0</v>
      </c>
      <c r="G90" s="3">
        <f>0</f>
        <v>0</v>
      </c>
      <c r="H90" s="3">
        <f t="shared" si="15"/>
        <v>0</v>
      </c>
      <c r="I90" s="3">
        <f>((434452+0+0)-(0+0))</f>
        <v>434452</v>
      </c>
    </row>
    <row r="91" spans="1:9" ht="14" x14ac:dyDescent="0.3">
      <c r="A91" s="2" t="s">
        <v>17</v>
      </c>
      <c r="B91" s="3">
        <f>68300</f>
        <v>68300</v>
      </c>
      <c r="C91" s="3">
        <f>0</f>
        <v>0</v>
      </c>
      <c r="D91" s="3">
        <f>0</f>
        <v>0</v>
      </c>
      <c r="E91" s="3">
        <f>(68300+0+0)</f>
        <v>68300</v>
      </c>
      <c r="F91" s="3">
        <f>0</f>
        <v>0</v>
      </c>
      <c r="G91" s="3">
        <f>0</f>
        <v>0</v>
      </c>
      <c r="H91" s="3">
        <f t="shared" si="15"/>
        <v>0</v>
      </c>
      <c r="I91" s="3">
        <f>((68300+0+0)-(0+0))</f>
        <v>68300</v>
      </c>
    </row>
    <row r="92" spans="1:9" ht="14" x14ac:dyDescent="0.3">
      <c r="A92" s="2" t="s">
        <v>18</v>
      </c>
      <c r="B92" s="3">
        <f>126583</f>
        <v>126583</v>
      </c>
      <c r="C92" s="3">
        <f>0</f>
        <v>0</v>
      </c>
      <c r="D92" s="3">
        <f>0</f>
        <v>0</v>
      </c>
      <c r="E92" s="3">
        <f>(126583+0+0)</f>
        <v>126583</v>
      </c>
      <c r="F92" s="3">
        <f>0</f>
        <v>0</v>
      </c>
      <c r="G92" s="3">
        <f>0</f>
        <v>0</v>
      </c>
      <c r="H92" s="3">
        <f t="shared" si="15"/>
        <v>0</v>
      </c>
      <c r="I92" s="3">
        <f>((126583+0+0)-(0+0))</f>
        <v>126583</v>
      </c>
    </row>
    <row r="93" spans="1:9" ht="14" x14ac:dyDescent="0.3">
      <c r="A93" s="2" t="s">
        <v>19</v>
      </c>
      <c r="B93" s="3">
        <f>1247307</f>
        <v>1247307</v>
      </c>
      <c r="C93" s="3">
        <f>0</f>
        <v>0</v>
      </c>
      <c r="D93" s="3">
        <f>0</f>
        <v>0</v>
      </c>
      <c r="E93" s="3">
        <f>(1247307+0+0)</f>
        <v>1247307</v>
      </c>
      <c r="F93" s="3">
        <f>0</f>
        <v>0</v>
      </c>
      <c r="G93" s="3">
        <f>0</f>
        <v>0</v>
      </c>
      <c r="H93" s="3">
        <f t="shared" si="15"/>
        <v>0</v>
      </c>
      <c r="I93" s="3">
        <f>((1247307+0+0)-(0+0))</f>
        <v>1247307</v>
      </c>
    </row>
    <row r="94" spans="1:9" ht="14" x14ac:dyDescent="0.3">
      <c r="A94" s="2" t="s">
        <v>20</v>
      </c>
      <c r="B94" s="3">
        <f>55300</f>
        <v>55300</v>
      </c>
      <c r="C94" s="3">
        <f>0</f>
        <v>0</v>
      </c>
      <c r="D94" s="3">
        <f>0</f>
        <v>0</v>
      </c>
      <c r="E94" s="3">
        <f>(55300+0+0)</f>
        <v>55300</v>
      </c>
      <c r="F94" s="3">
        <f>0</f>
        <v>0</v>
      </c>
      <c r="G94" s="3">
        <f>0</f>
        <v>0</v>
      </c>
      <c r="H94" s="3">
        <f t="shared" si="15"/>
        <v>0</v>
      </c>
      <c r="I94" s="3">
        <f>((55300+0+0)-(0+0))</f>
        <v>55300</v>
      </c>
    </row>
    <row r="95" spans="1:9" ht="14" x14ac:dyDescent="0.3">
      <c r="A95" s="2" t="s">
        <v>21</v>
      </c>
      <c r="B95" s="3">
        <f>0</f>
        <v>0</v>
      </c>
      <c r="C95" s="3">
        <f>0</f>
        <v>0</v>
      </c>
      <c r="D95" s="3">
        <f>0</f>
        <v>0</v>
      </c>
      <c r="E95" s="3">
        <f>(0+0+0)</f>
        <v>0</v>
      </c>
      <c r="F95" s="3">
        <f>0</f>
        <v>0</v>
      </c>
      <c r="G95" s="3">
        <f>0</f>
        <v>0</v>
      </c>
      <c r="H95" s="3">
        <f t="shared" si="15"/>
        <v>0</v>
      </c>
      <c r="I95" s="3">
        <f>((0+0+0)-(0+0))</f>
        <v>0</v>
      </c>
    </row>
    <row r="96" spans="1:9" ht="14" x14ac:dyDescent="0.3">
      <c r="A96" s="2" t="s">
        <v>22</v>
      </c>
      <c r="B96" s="3">
        <f>935203</f>
        <v>935203</v>
      </c>
      <c r="C96" s="3">
        <f>0</f>
        <v>0</v>
      </c>
      <c r="D96" s="3">
        <f>0</f>
        <v>0</v>
      </c>
      <c r="E96" s="3">
        <f>(935203+0+0)</f>
        <v>935203</v>
      </c>
      <c r="F96" s="3">
        <f>0</f>
        <v>0</v>
      </c>
      <c r="G96" s="3">
        <f>0</f>
        <v>0</v>
      </c>
      <c r="H96" s="3">
        <f t="shared" si="15"/>
        <v>0</v>
      </c>
      <c r="I96" s="3">
        <f>((935203+0+0)-(0+0))</f>
        <v>935203</v>
      </c>
    </row>
    <row r="97" spans="1:9" ht="14" x14ac:dyDescent="0.3">
      <c r="A97" s="2" t="s">
        <v>23</v>
      </c>
      <c r="B97" s="3">
        <f>54831</f>
        <v>54831</v>
      </c>
      <c r="C97" s="3">
        <f>0</f>
        <v>0</v>
      </c>
      <c r="D97" s="3">
        <f>0</f>
        <v>0</v>
      </c>
      <c r="E97" s="3">
        <f>(54831+0+0)</f>
        <v>54831</v>
      </c>
      <c r="F97" s="3">
        <f>0</f>
        <v>0</v>
      </c>
      <c r="G97" s="3">
        <f>0</f>
        <v>0</v>
      </c>
      <c r="H97" s="3">
        <f t="shared" si="15"/>
        <v>0</v>
      </c>
      <c r="I97" s="3">
        <f>((54831+0+0)-(0+0))</f>
        <v>54831</v>
      </c>
    </row>
    <row r="98" spans="1:9" ht="14" x14ac:dyDescent="0.3">
      <c r="A98" s="2" t="s">
        <v>24</v>
      </c>
      <c r="B98" s="3">
        <f>490620</f>
        <v>490620</v>
      </c>
      <c r="C98" s="3">
        <f>0</f>
        <v>0</v>
      </c>
      <c r="D98" s="3">
        <f>0</f>
        <v>0</v>
      </c>
      <c r="E98" s="3">
        <f>(490620+0+0)</f>
        <v>490620</v>
      </c>
      <c r="F98" s="3">
        <f>0</f>
        <v>0</v>
      </c>
      <c r="G98" s="3">
        <f>0</f>
        <v>0</v>
      </c>
      <c r="H98" s="3">
        <f t="shared" si="15"/>
        <v>0</v>
      </c>
      <c r="I98" s="3">
        <f>((490620+0+0)-(0+0))</f>
        <v>490620</v>
      </c>
    </row>
    <row r="99" spans="1:9" ht="14" x14ac:dyDescent="0.3">
      <c r="A99" s="2" t="s">
        <v>25</v>
      </c>
      <c r="B99" s="3">
        <f>2905842</f>
        <v>2905842</v>
      </c>
      <c r="C99" s="3">
        <f>0</f>
        <v>0</v>
      </c>
      <c r="D99" s="3">
        <f>0</f>
        <v>0</v>
      </c>
      <c r="E99" s="3">
        <f>(2905842+0+0)</f>
        <v>2905842</v>
      </c>
      <c r="F99" s="3">
        <f>0</f>
        <v>0</v>
      </c>
      <c r="G99" s="3">
        <f>0</f>
        <v>0</v>
      </c>
      <c r="H99" s="3">
        <f t="shared" si="15"/>
        <v>0</v>
      </c>
      <c r="I99" s="3">
        <f>((2905842+0+0)-(0+0))</f>
        <v>2905842</v>
      </c>
    </row>
    <row r="100" spans="1:9" ht="14" x14ac:dyDescent="0.3">
      <c r="A100" s="2" t="s">
        <v>26</v>
      </c>
      <c r="B100" s="3">
        <f>1015159</f>
        <v>1015159</v>
      </c>
      <c r="C100" s="3">
        <f>0</f>
        <v>0</v>
      </c>
      <c r="D100" s="3">
        <f>0</f>
        <v>0</v>
      </c>
      <c r="E100" s="3">
        <f>(1015159+0+0)</f>
        <v>1015159</v>
      </c>
      <c r="F100" s="3">
        <f>0</f>
        <v>0</v>
      </c>
      <c r="G100" s="3">
        <f>0</f>
        <v>0</v>
      </c>
      <c r="H100" s="3">
        <f t="shared" si="15"/>
        <v>0</v>
      </c>
      <c r="I100" s="3">
        <f>((1015159+0+0)-(0+0))</f>
        <v>1015159</v>
      </c>
    </row>
    <row r="101" spans="1:9" ht="14" x14ac:dyDescent="0.3">
      <c r="A101" s="5" t="s">
        <v>31</v>
      </c>
      <c r="B101" s="5"/>
      <c r="C101" s="5"/>
      <c r="D101" s="5"/>
      <c r="E101" s="5"/>
      <c r="F101" s="5"/>
      <c r="G101" s="5"/>
      <c r="H101" s="5"/>
      <c r="I101" s="5"/>
    </row>
    <row r="102" spans="1:9" ht="14" x14ac:dyDescent="0.3">
      <c r="A102" s="4" t="s">
        <v>1</v>
      </c>
      <c r="B102" s="1" t="s">
        <v>2</v>
      </c>
      <c r="C102" s="1" t="s">
        <v>3</v>
      </c>
      <c r="D102" s="1" t="s">
        <v>4</v>
      </c>
      <c r="E102" s="1" t="s">
        <v>5</v>
      </c>
      <c r="F102" s="1" t="s">
        <v>6</v>
      </c>
      <c r="G102" s="1" t="s">
        <v>7</v>
      </c>
      <c r="H102" s="1" t="s">
        <v>8</v>
      </c>
      <c r="I102" s="1" t="s">
        <v>9</v>
      </c>
    </row>
    <row r="103" spans="1:9" ht="14" x14ac:dyDescent="0.3">
      <c r="A103" s="4"/>
      <c r="B103" s="1">
        <v>2023</v>
      </c>
      <c r="C103" s="1">
        <v>2023</v>
      </c>
      <c r="D103" s="1">
        <v>2023</v>
      </c>
      <c r="E103" s="1">
        <v>2023</v>
      </c>
      <c r="F103" s="1">
        <v>2023</v>
      </c>
      <c r="G103" s="1">
        <v>2023</v>
      </c>
      <c r="H103" s="1">
        <v>2023</v>
      </c>
      <c r="I103" s="1">
        <v>2023</v>
      </c>
    </row>
    <row r="104" spans="1:9" ht="14" x14ac:dyDescent="0.3">
      <c r="A104" s="2" t="s">
        <v>10</v>
      </c>
      <c r="B104" s="3">
        <f>1202733</f>
        <v>1202733</v>
      </c>
      <c r="C104" s="3">
        <f>0</f>
        <v>0</v>
      </c>
      <c r="D104" s="3">
        <f>0</f>
        <v>0</v>
      </c>
      <c r="E104" s="3">
        <f>(1202733+0+0)</f>
        <v>1202733</v>
      </c>
      <c r="F104" s="3">
        <f>0</f>
        <v>0</v>
      </c>
      <c r="G104" s="3">
        <f>0</f>
        <v>0</v>
      </c>
      <c r="H104" s="3">
        <f>(0+0)</f>
        <v>0</v>
      </c>
      <c r="I104" s="3">
        <f>((1202733+0+0)-(0+0))</f>
        <v>1202733</v>
      </c>
    </row>
    <row r="105" spans="1:9" ht="14" x14ac:dyDescent="0.3">
      <c r="A105" s="2" t="s">
        <v>11</v>
      </c>
      <c r="B105" s="3">
        <f>0</f>
        <v>0</v>
      </c>
      <c r="C105" s="3">
        <f>0</f>
        <v>0</v>
      </c>
      <c r="D105" s="3">
        <f>0</f>
        <v>0</v>
      </c>
      <c r="E105" s="3">
        <f>(0+0+0)</f>
        <v>0</v>
      </c>
      <c r="F105" s="3">
        <f>0</f>
        <v>0</v>
      </c>
      <c r="G105" s="3">
        <f>0</f>
        <v>0</v>
      </c>
      <c r="H105" s="3">
        <f>(0+0)</f>
        <v>0</v>
      </c>
      <c r="I105" s="3">
        <f>((0+0+0)-(0+0))</f>
        <v>0</v>
      </c>
    </row>
    <row r="106" spans="1:9" ht="14" x14ac:dyDescent="0.3">
      <c r="A106" s="2" t="s">
        <v>12</v>
      </c>
      <c r="B106" s="3">
        <f>1303453</f>
        <v>1303453</v>
      </c>
      <c r="C106" s="3">
        <f>0</f>
        <v>0</v>
      </c>
      <c r="D106" s="3">
        <f>0</f>
        <v>0</v>
      </c>
      <c r="E106" s="3">
        <f>(1303453+0+0)</f>
        <v>1303453</v>
      </c>
      <c r="F106" s="3">
        <f>0</f>
        <v>0</v>
      </c>
      <c r="G106" s="3">
        <f>0</f>
        <v>0</v>
      </c>
      <c r="H106" s="3">
        <f>(0+0)</f>
        <v>0</v>
      </c>
      <c r="I106" s="3">
        <f>((1303453+0+0)-(0+0))</f>
        <v>1303453</v>
      </c>
    </row>
    <row r="107" spans="1:9" ht="14" x14ac:dyDescent="0.3">
      <c r="A107" s="2" t="s">
        <v>13</v>
      </c>
      <c r="B107" s="3">
        <f>221814</f>
        <v>221814</v>
      </c>
      <c r="C107" s="3">
        <f>0</f>
        <v>0</v>
      </c>
      <c r="D107" s="3">
        <f>0</f>
        <v>0</v>
      </c>
      <c r="E107" s="3">
        <f>(221814+0+0)</f>
        <v>221814</v>
      </c>
      <c r="F107" s="3">
        <f>0</f>
        <v>0</v>
      </c>
      <c r="G107" s="3">
        <f>7417</f>
        <v>7417</v>
      </c>
      <c r="H107" s="3">
        <f>(0+7417)</f>
        <v>7417</v>
      </c>
      <c r="I107" s="3">
        <f>((221814+0+0)-(0+7417))</f>
        <v>214397</v>
      </c>
    </row>
    <row r="108" spans="1:9" ht="14" x14ac:dyDescent="0.3">
      <c r="A108" s="2" t="s">
        <v>14</v>
      </c>
      <c r="B108" s="3">
        <f>1863398</f>
        <v>1863398</v>
      </c>
      <c r="C108" s="3">
        <f>0</f>
        <v>0</v>
      </c>
      <c r="D108" s="3">
        <f>0</f>
        <v>0</v>
      </c>
      <c r="E108" s="3">
        <f>(1863398+0+0)</f>
        <v>1863398</v>
      </c>
      <c r="F108" s="3">
        <f>0</f>
        <v>0</v>
      </c>
      <c r="G108" s="3">
        <f>0</f>
        <v>0</v>
      </c>
      <c r="H108" s="3">
        <f t="shared" ref="H108:H120" si="16">(0+0)</f>
        <v>0</v>
      </c>
      <c r="I108" s="3">
        <f>((1863398+0+0)-(0+0))</f>
        <v>1863398</v>
      </c>
    </row>
    <row r="109" spans="1:9" ht="14" x14ac:dyDescent="0.3">
      <c r="A109" s="2" t="s">
        <v>15</v>
      </c>
      <c r="B109" s="3">
        <f>1144814</f>
        <v>1144814</v>
      </c>
      <c r="C109" s="3">
        <f>0</f>
        <v>0</v>
      </c>
      <c r="D109" s="3">
        <f>0</f>
        <v>0</v>
      </c>
      <c r="E109" s="3">
        <f>(1144814+0+0)</f>
        <v>1144814</v>
      </c>
      <c r="F109" s="3">
        <f>0</f>
        <v>0</v>
      </c>
      <c r="G109" s="3">
        <f>0</f>
        <v>0</v>
      </c>
      <c r="H109" s="3">
        <f t="shared" si="16"/>
        <v>0</v>
      </c>
      <c r="I109" s="3">
        <f>((1144814+0+0)-(0+0))</f>
        <v>1144814</v>
      </c>
    </row>
    <row r="110" spans="1:9" ht="14" x14ac:dyDescent="0.3">
      <c r="A110" s="2" t="s">
        <v>16</v>
      </c>
      <c r="B110" s="3">
        <f>637858</f>
        <v>637858</v>
      </c>
      <c r="C110" s="3">
        <f>0</f>
        <v>0</v>
      </c>
      <c r="D110" s="3">
        <f>0</f>
        <v>0</v>
      </c>
      <c r="E110" s="3">
        <f>(637858+0+0)</f>
        <v>637858</v>
      </c>
      <c r="F110" s="3">
        <f>0</f>
        <v>0</v>
      </c>
      <c r="G110" s="3">
        <f>0</f>
        <v>0</v>
      </c>
      <c r="H110" s="3">
        <f t="shared" si="16"/>
        <v>0</v>
      </c>
      <c r="I110" s="3">
        <f>((637858+0+0)-(0+0))</f>
        <v>637858</v>
      </c>
    </row>
    <row r="111" spans="1:9" ht="14" x14ac:dyDescent="0.3">
      <c r="A111" s="2" t="s">
        <v>17</v>
      </c>
      <c r="B111" s="3">
        <f>210533</f>
        <v>210533</v>
      </c>
      <c r="C111" s="3">
        <f>0</f>
        <v>0</v>
      </c>
      <c r="D111" s="3">
        <f>0</f>
        <v>0</v>
      </c>
      <c r="E111" s="3">
        <f>(210533+0+0)</f>
        <v>210533</v>
      </c>
      <c r="F111" s="3">
        <f>0</f>
        <v>0</v>
      </c>
      <c r="G111" s="3">
        <f>0</f>
        <v>0</v>
      </c>
      <c r="H111" s="3">
        <f t="shared" si="16"/>
        <v>0</v>
      </c>
      <c r="I111" s="3">
        <f>((210533+0+0)-(0+0))</f>
        <v>210533</v>
      </c>
    </row>
    <row r="112" spans="1:9" ht="14" x14ac:dyDescent="0.3">
      <c r="A112" s="2" t="s">
        <v>18</v>
      </c>
      <c r="B112" s="3">
        <f>29197</f>
        <v>29197</v>
      </c>
      <c r="C112" s="3">
        <f>0</f>
        <v>0</v>
      </c>
      <c r="D112" s="3">
        <f>0</f>
        <v>0</v>
      </c>
      <c r="E112" s="3">
        <f>(29197+0+0)</f>
        <v>29197</v>
      </c>
      <c r="F112" s="3">
        <f>0</f>
        <v>0</v>
      </c>
      <c r="G112" s="3">
        <f>0</f>
        <v>0</v>
      </c>
      <c r="H112" s="3">
        <f t="shared" si="16"/>
        <v>0</v>
      </c>
      <c r="I112" s="3">
        <f>((29197+0+0)-(0+0))</f>
        <v>29197</v>
      </c>
    </row>
    <row r="113" spans="1:9" ht="14" x14ac:dyDescent="0.3">
      <c r="A113" s="2" t="s">
        <v>19</v>
      </c>
      <c r="B113" s="3">
        <f>831537</f>
        <v>831537</v>
      </c>
      <c r="C113" s="3">
        <f>0</f>
        <v>0</v>
      </c>
      <c r="D113" s="3">
        <f>0</f>
        <v>0</v>
      </c>
      <c r="E113" s="3">
        <f>(831537+0+0)</f>
        <v>831537</v>
      </c>
      <c r="F113" s="3">
        <f>0</f>
        <v>0</v>
      </c>
      <c r="G113" s="3">
        <f>0</f>
        <v>0</v>
      </c>
      <c r="H113" s="3">
        <f t="shared" si="16"/>
        <v>0</v>
      </c>
      <c r="I113" s="3">
        <f>((831537+0+0)-(0+0))</f>
        <v>831537</v>
      </c>
    </row>
    <row r="114" spans="1:9" ht="14" x14ac:dyDescent="0.3">
      <c r="A114" s="2" t="s">
        <v>20</v>
      </c>
      <c r="B114" s="3">
        <f>0</f>
        <v>0</v>
      </c>
      <c r="C114" s="3">
        <f>0</f>
        <v>0</v>
      </c>
      <c r="D114" s="3">
        <f>0</f>
        <v>0</v>
      </c>
      <c r="E114" s="3">
        <f>(0+0+0)</f>
        <v>0</v>
      </c>
      <c r="F114" s="3">
        <f>0</f>
        <v>0</v>
      </c>
      <c r="G114" s="3">
        <f>0</f>
        <v>0</v>
      </c>
      <c r="H114" s="3">
        <f t="shared" si="16"/>
        <v>0</v>
      </c>
      <c r="I114" s="3">
        <f>((0+0+0)-(0+0))</f>
        <v>0</v>
      </c>
    </row>
    <row r="115" spans="1:9" ht="14" x14ac:dyDescent="0.3">
      <c r="A115" s="2" t="s">
        <v>21</v>
      </c>
      <c r="B115" s="3">
        <f>0</f>
        <v>0</v>
      </c>
      <c r="C115" s="3">
        <f>0</f>
        <v>0</v>
      </c>
      <c r="D115" s="3">
        <f>0</f>
        <v>0</v>
      </c>
      <c r="E115" s="3">
        <f>(0+0+0)</f>
        <v>0</v>
      </c>
      <c r="F115" s="3">
        <f>0</f>
        <v>0</v>
      </c>
      <c r="G115" s="3">
        <f>0</f>
        <v>0</v>
      </c>
      <c r="H115" s="3">
        <f t="shared" si="16"/>
        <v>0</v>
      </c>
      <c r="I115" s="3">
        <f>((0+0+0)-(0+0))</f>
        <v>0</v>
      </c>
    </row>
    <row r="116" spans="1:9" ht="14" x14ac:dyDescent="0.3">
      <c r="A116" s="2" t="s">
        <v>22</v>
      </c>
      <c r="B116" s="3">
        <f>1203482</f>
        <v>1203482</v>
      </c>
      <c r="C116" s="3">
        <f>0</f>
        <v>0</v>
      </c>
      <c r="D116" s="3">
        <f>0</f>
        <v>0</v>
      </c>
      <c r="E116" s="3">
        <f>(1203482+0+0)</f>
        <v>1203482</v>
      </c>
      <c r="F116" s="3">
        <f>0</f>
        <v>0</v>
      </c>
      <c r="G116" s="3">
        <f>0</f>
        <v>0</v>
      </c>
      <c r="H116" s="3">
        <f t="shared" si="16"/>
        <v>0</v>
      </c>
      <c r="I116" s="3">
        <f>((1203482+0+0)-(0+0))</f>
        <v>1203482</v>
      </c>
    </row>
    <row r="117" spans="1:9" ht="14" x14ac:dyDescent="0.3">
      <c r="A117" s="2" t="s">
        <v>23</v>
      </c>
      <c r="B117" s="3">
        <f>0</f>
        <v>0</v>
      </c>
      <c r="C117" s="3">
        <f>0</f>
        <v>0</v>
      </c>
      <c r="D117" s="3">
        <f>0</f>
        <v>0</v>
      </c>
      <c r="E117" s="3">
        <f>(0+0+0)</f>
        <v>0</v>
      </c>
      <c r="F117" s="3">
        <f>0</f>
        <v>0</v>
      </c>
      <c r="G117" s="3">
        <f>0</f>
        <v>0</v>
      </c>
      <c r="H117" s="3">
        <f t="shared" si="16"/>
        <v>0</v>
      </c>
      <c r="I117" s="3">
        <f>((0+0+0)-(0+0))</f>
        <v>0</v>
      </c>
    </row>
    <row r="118" spans="1:9" ht="14" x14ac:dyDescent="0.3">
      <c r="A118" s="2" t="s">
        <v>24</v>
      </c>
      <c r="B118" s="3">
        <f>458335</f>
        <v>458335</v>
      </c>
      <c r="C118" s="3">
        <f>0</f>
        <v>0</v>
      </c>
      <c r="D118" s="3">
        <f>0</f>
        <v>0</v>
      </c>
      <c r="E118" s="3">
        <f>(458335+0+0)</f>
        <v>458335</v>
      </c>
      <c r="F118" s="3">
        <f>0</f>
        <v>0</v>
      </c>
      <c r="G118" s="3">
        <f>0</f>
        <v>0</v>
      </c>
      <c r="H118" s="3">
        <f t="shared" si="16"/>
        <v>0</v>
      </c>
      <c r="I118" s="3">
        <f>((458335+0+0)-(0+0))</f>
        <v>458335</v>
      </c>
    </row>
    <row r="119" spans="1:9" ht="14" x14ac:dyDescent="0.3">
      <c r="A119" s="2" t="s">
        <v>25</v>
      </c>
      <c r="B119" s="3">
        <f>1685750</f>
        <v>1685750</v>
      </c>
      <c r="C119" s="3">
        <f>0</f>
        <v>0</v>
      </c>
      <c r="D119" s="3">
        <f>0</f>
        <v>0</v>
      </c>
      <c r="E119" s="3">
        <f>(1685750+0+0)</f>
        <v>1685750</v>
      </c>
      <c r="F119" s="3">
        <f>0</f>
        <v>0</v>
      </c>
      <c r="G119" s="3">
        <f>0</f>
        <v>0</v>
      </c>
      <c r="H119" s="3">
        <f t="shared" si="16"/>
        <v>0</v>
      </c>
      <c r="I119" s="3">
        <f>((1685750+0+0)-(0+0))</f>
        <v>1685750</v>
      </c>
    </row>
    <row r="120" spans="1:9" ht="14" x14ac:dyDescent="0.3">
      <c r="A120" s="2" t="s">
        <v>26</v>
      </c>
      <c r="B120" s="3">
        <f>297352</f>
        <v>297352</v>
      </c>
      <c r="C120" s="3">
        <f>0</f>
        <v>0</v>
      </c>
      <c r="D120" s="3">
        <f>0</f>
        <v>0</v>
      </c>
      <c r="E120" s="3">
        <f>(297352+0+0)</f>
        <v>297352</v>
      </c>
      <c r="F120" s="3">
        <f>0</f>
        <v>0</v>
      </c>
      <c r="G120" s="3">
        <f>0</f>
        <v>0</v>
      </c>
      <c r="H120" s="3">
        <f t="shared" si="16"/>
        <v>0</v>
      </c>
      <c r="I120" s="3">
        <f>((297352+0+0)-(0+0))</f>
        <v>297352</v>
      </c>
    </row>
    <row r="121" spans="1:9" ht="14" x14ac:dyDescent="0.3">
      <c r="A121" s="5" t="s">
        <v>32</v>
      </c>
      <c r="B121" s="5"/>
      <c r="C121" s="5"/>
      <c r="D121" s="5"/>
      <c r="E121" s="5"/>
      <c r="F121" s="5"/>
      <c r="G121" s="5"/>
      <c r="H121" s="5"/>
      <c r="I121" s="5"/>
    </row>
    <row r="122" spans="1:9" ht="14" x14ac:dyDescent="0.3">
      <c r="A122" s="4" t="s">
        <v>1</v>
      </c>
      <c r="B122" s="1" t="s">
        <v>2</v>
      </c>
      <c r="C122" s="1" t="s">
        <v>3</v>
      </c>
      <c r="D122" s="1" t="s">
        <v>4</v>
      </c>
      <c r="E122" s="1" t="s">
        <v>5</v>
      </c>
      <c r="F122" s="1" t="s">
        <v>6</v>
      </c>
      <c r="G122" s="1" t="s">
        <v>7</v>
      </c>
      <c r="H122" s="1" t="s">
        <v>8</v>
      </c>
      <c r="I122" s="1" t="s">
        <v>9</v>
      </c>
    </row>
    <row r="123" spans="1:9" ht="14" x14ac:dyDescent="0.3">
      <c r="A123" s="4"/>
      <c r="B123" s="1">
        <v>2023</v>
      </c>
      <c r="C123" s="1">
        <v>2023</v>
      </c>
      <c r="D123" s="1">
        <v>2023</v>
      </c>
      <c r="E123" s="1">
        <v>2023</v>
      </c>
      <c r="F123" s="1">
        <v>2023</v>
      </c>
      <c r="G123" s="1">
        <v>2023</v>
      </c>
      <c r="H123" s="1">
        <v>2023</v>
      </c>
      <c r="I123" s="1">
        <v>2023</v>
      </c>
    </row>
    <row r="124" spans="1:9" ht="14" x14ac:dyDescent="0.3">
      <c r="A124" s="2" t="s">
        <v>10</v>
      </c>
      <c r="B124" s="3">
        <f>111227</f>
        <v>111227</v>
      </c>
      <c r="C124" s="3">
        <f>0</f>
        <v>0</v>
      </c>
      <c r="D124" s="3">
        <f>0</f>
        <v>0</v>
      </c>
      <c r="E124" s="3">
        <f>(111227+0+0)</f>
        <v>111227</v>
      </c>
      <c r="F124" s="3">
        <f>0</f>
        <v>0</v>
      </c>
      <c r="G124" s="3">
        <f>0</f>
        <v>0</v>
      </c>
      <c r="H124" s="3">
        <f>(0+0)</f>
        <v>0</v>
      </c>
      <c r="I124" s="3">
        <f>((111227+0+0)-(0+0))</f>
        <v>111227</v>
      </c>
    </row>
    <row r="125" spans="1:9" ht="14" x14ac:dyDescent="0.3">
      <c r="A125" s="2" t="s">
        <v>11</v>
      </c>
      <c r="B125" s="3">
        <f>0</f>
        <v>0</v>
      </c>
      <c r="C125" s="3">
        <f>0</f>
        <v>0</v>
      </c>
      <c r="D125" s="3">
        <f>0</f>
        <v>0</v>
      </c>
      <c r="E125" s="3">
        <f>(0+0+0)</f>
        <v>0</v>
      </c>
      <c r="F125" s="3">
        <f>0</f>
        <v>0</v>
      </c>
      <c r="G125" s="3">
        <f>0</f>
        <v>0</v>
      </c>
      <c r="H125" s="3">
        <f>(0+0)</f>
        <v>0</v>
      </c>
      <c r="I125" s="3">
        <f>((0+0+0)-(0+0))</f>
        <v>0</v>
      </c>
    </row>
    <row r="126" spans="1:9" ht="14" x14ac:dyDescent="0.3">
      <c r="A126" s="2" t="s">
        <v>12</v>
      </c>
      <c r="B126" s="3">
        <f>128623</f>
        <v>128623</v>
      </c>
      <c r="C126" s="3">
        <f>0</f>
        <v>0</v>
      </c>
      <c r="D126" s="3">
        <f>0</f>
        <v>0</v>
      </c>
      <c r="E126" s="3">
        <f>(128623+0+0)</f>
        <v>128623</v>
      </c>
      <c r="F126" s="3">
        <f>0</f>
        <v>0</v>
      </c>
      <c r="G126" s="3">
        <f>0</f>
        <v>0</v>
      </c>
      <c r="H126" s="3">
        <f>(0+0)</f>
        <v>0</v>
      </c>
      <c r="I126" s="3">
        <f>((128623+0+0)-(0+0))</f>
        <v>128623</v>
      </c>
    </row>
    <row r="127" spans="1:9" ht="14" x14ac:dyDescent="0.3">
      <c r="A127" s="2" t="s">
        <v>13</v>
      </c>
      <c r="B127" s="3">
        <f>30701</f>
        <v>30701</v>
      </c>
      <c r="C127" s="3">
        <f>0</f>
        <v>0</v>
      </c>
      <c r="D127" s="3">
        <f>0</f>
        <v>0</v>
      </c>
      <c r="E127" s="3">
        <f>(30701+0+0)</f>
        <v>30701</v>
      </c>
      <c r="F127" s="3">
        <f>15</f>
        <v>15</v>
      </c>
      <c r="G127" s="3">
        <f>3985</f>
        <v>3985</v>
      </c>
      <c r="H127" s="3">
        <f>(15+3985)</f>
        <v>4000</v>
      </c>
      <c r="I127" s="3">
        <f>((30701+0+0)-(15+3985))</f>
        <v>26701</v>
      </c>
    </row>
    <row r="128" spans="1:9" ht="14" x14ac:dyDescent="0.3">
      <c r="A128" s="2" t="s">
        <v>14</v>
      </c>
      <c r="B128" s="3">
        <f>40769</f>
        <v>40769</v>
      </c>
      <c r="C128" s="3">
        <f>0</f>
        <v>0</v>
      </c>
      <c r="D128" s="3">
        <f>0</f>
        <v>0</v>
      </c>
      <c r="E128" s="3">
        <f>(40769+0+0)</f>
        <v>40769</v>
      </c>
      <c r="F128" s="3">
        <f>0</f>
        <v>0</v>
      </c>
      <c r="G128" s="3">
        <f>0</f>
        <v>0</v>
      </c>
      <c r="H128" s="3">
        <f t="shared" ref="H128:H140" si="17">(0+0)</f>
        <v>0</v>
      </c>
      <c r="I128" s="3">
        <f>((40769+0+0)-(0+0))</f>
        <v>40769</v>
      </c>
    </row>
    <row r="129" spans="1:9" ht="14" x14ac:dyDescent="0.3">
      <c r="A129" s="2" t="s">
        <v>15</v>
      </c>
      <c r="B129" s="3">
        <f>266776</f>
        <v>266776</v>
      </c>
      <c r="C129" s="3">
        <f>0</f>
        <v>0</v>
      </c>
      <c r="D129" s="3">
        <f>0</f>
        <v>0</v>
      </c>
      <c r="E129" s="3">
        <f>(266776+0+0)</f>
        <v>266776</v>
      </c>
      <c r="F129" s="3">
        <f>0</f>
        <v>0</v>
      </c>
      <c r="G129" s="3">
        <f>0</f>
        <v>0</v>
      </c>
      <c r="H129" s="3">
        <f t="shared" si="17"/>
        <v>0</v>
      </c>
      <c r="I129" s="3">
        <f>((266776+0+0)-(0+0))</f>
        <v>266776</v>
      </c>
    </row>
    <row r="130" spans="1:9" ht="14" x14ac:dyDescent="0.3">
      <c r="A130" s="2" t="s">
        <v>16</v>
      </c>
      <c r="B130" s="3">
        <f>52970</f>
        <v>52970</v>
      </c>
      <c r="C130" s="3">
        <f>0</f>
        <v>0</v>
      </c>
      <c r="D130" s="3">
        <f>0</f>
        <v>0</v>
      </c>
      <c r="E130" s="3">
        <f>(52970+0+0)</f>
        <v>52970</v>
      </c>
      <c r="F130" s="3">
        <f>0</f>
        <v>0</v>
      </c>
      <c r="G130" s="3">
        <f>0</f>
        <v>0</v>
      </c>
      <c r="H130" s="3">
        <f t="shared" si="17"/>
        <v>0</v>
      </c>
      <c r="I130" s="3">
        <f>((52970+0+0)-(0+0))</f>
        <v>52970</v>
      </c>
    </row>
    <row r="131" spans="1:9" ht="14" x14ac:dyDescent="0.3">
      <c r="A131" s="2" t="s">
        <v>17</v>
      </c>
      <c r="B131" s="3">
        <f>1017</f>
        <v>1017</v>
      </c>
      <c r="C131" s="3">
        <f>0</f>
        <v>0</v>
      </c>
      <c r="D131" s="3">
        <f>0</f>
        <v>0</v>
      </c>
      <c r="E131" s="3">
        <f>(1017+0+0)</f>
        <v>1017</v>
      </c>
      <c r="F131" s="3">
        <f>0</f>
        <v>0</v>
      </c>
      <c r="G131" s="3">
        <f>0</f>
        <v>0</v>
      </c>
      <c r="H131" s="3">
        <f t="shared" si="17"/>
        <v>0</v>
      </c>
      <c r="I131" s="3">
        <f>((1017+0+0)-(0+0))</f>
        <v>1017</v>
      </c>
    </row>
    <row r="132" spans="1:9" ht="14" x14ac:dyDescent="0.3">
      <c r="A132" s="2" t="s">
        <v>18</v>
      </c>
      <c r="B132" s="3">
        <f>22898</f>
        <v>22898</v>
      </c>
      <c r="C132" s="3">
        <f>0</f>
        <v>0</v>
      </c>
      <c r="D132" s="3">
        <f>0</f>
        <v>0</v>
      </c>
      <c r="E132" s="3">
        <f>(22898+0+0)</f>
        <v>22898</v>
      </c>
      <c r="F132" s="3">
        <f>0</f>
        <v>0</v>
      </c>
      <c r="G132" s="3">
        <f>0</f>
        <v>0</v>
      </c>
      <c r="H132" s="3">
        <f t="shared" si="17"/>
        <v>0</v>
      </c>
      <c r="I132" s="3">
        <f>((22898+0+0)-(0+0))</f>
        <v>22898</v>
      </c>
    </row>
    <row r="133" spans="1:9" ht="14" x14ac:dyDescent="0.3">
      <c r="A133" s="2" t="s">
        <v>19</v>
      </c>
      <c r="B133" s="3">
        <f>100501</f>
        <v>100501</v>
      </c>
      <c r="C133" s="3">
        <f>0</f>
        <v>0</v>
      </c>
      <c r="D133" s="3">
        <f>0</f>
        <v>0</v>
      </c>
      <c r="E133" s="3">
        <f>(100501+0+0)</f>
        <v>100501</v>
      </c>
      <c r="F133" s="3">
        <f>0</f>
        <v>0</v>
      </c>
      <c r="G133" s="3">
        <f>0</f>
        <v>0</v>
      </c>
      <c r="H133" s="3">
        <f t="shared" si="17"/>
        <v>0</v>
      </c>
      <c r="I133" s="3">
        <f>((100501+0+0)-(0+0))</f>
        <v>100501</v>
      </c>
    </row>
    <row r="134" spans="1:9" ht="14" x14ac:dyDescent="0.3">
      <c r="A134" s="2" t="s">
        <v>20</v>
      </c>
      <c r="B134" s="3">
        <f>79001</f>
        <v>79001</v>
      </c>
      <c r="C134" s="3">
        <f>0</f>
        <v>0</v>
      </c>
      <c r="D134" s="3">
        <f>0</f>
        <v>0</v>
      </c>
      <c r="E134" s="3">
        <f>(79001+0+0)</f>
        <v>79001</v>
      </c>
      <c r="F134" s="3">
        <f>0</f>
        <v>0</v>
      </c>
      <c r="G134" s="3">
        <f>0</f>
        <v>0</v>
      </c>
      <c r="H134" s="3">
        <f t="shared" si="17"/>
        <v>0</v>
      </c>
      <c r="I134" s="3">
        <f>((79001+0+0)-(0+0))</f>
        <v>79001</v>
      </c>
    </row>
    <row r="135" spans="1:9" ht="14" x14ac:dyDescent="0.3">
      <c r="A135" s="2" t="s">
        <v>21</v>
      </c>
      <c r="B135" s="3">
        <f>0</f>
        <v>0</v>
      </c>
      <c r="C135" s="3">
        <f>0</f>
        <v>0</v>
      </c>
      <c r="D135" s="3">
        <f>0</f>
        <v>0</v>
      </c>
      <c r="E135" s="3">
        <f>(0+0+0)</f>
        <v>0</v>
      </c>
      <c r="F135" s="3">
        <f>0</f>
        <v>0</v>
      </c>
      <c r="G135" s="3">
        <f>0</f>
        <v>0</v>
      </c>
      <c r="H135" s="3">
        <f t="shared" si="17"/>
        <v>0</v>
      </c>
      <c r="I135" s="3">
        <f>((0+0+0)-(0+0))</f>
        <v>0</v>
      </c>
    </row>
    <row r="136" spans="1:9" ht="14" x14ac:dyDescent="0.3">
      <c r="A136" s="2" t="s">
        <v>22</v>
      </c>
      <c r="B136" s="3">
        <f>308436</f>
        <v>308436</v>
      </c>
      <c r="C136" s="3">
        <f>0</f>
        <v>0</v>
      </c>
      <c r="D136" s="3">
        <f>0</f>
        <v>0</v>
      </c>
      <c r="E136" s="3">
        <f>(308436+0+0)</f>
        <v>308436</v>
      </c>
      <c r="F136" s="3">
        <f>0</f>
        <v>0</v>
      </c>
      <c r="G136" s="3">
        <f>0</f>
        <v>0</v>
      </c>
      <c r="H136" s="3">
        <f t="shared" si="17"/>
        <v>0</v>
      </c>
      <c r="I136" s="3">
        <f>((308436+0+0)-(0+0))</f>
        <v>308436</v>
      </c>
    </row>
    <row r="137" spans="1:9" ht="14" x14ac:dyDescent="0.3">
      <c r="A137" s="2" t="s">
        <v>23</v>
      </c>
      <c r="B137" s="3">
        <f>22737</f>
        <v>22737</v>
      </c>
      <c r="C137" s="3">
        <f>0</f>
        <v>0</v>
      </c>
      <c r="D137" s="3">
        <f>0</f>
        <v>0</v>
      </c>
      <c r="E137" s="3">
        <f>(22737+0+0)</f>
        <v>22737</v>
      </c>
      <c r="F137" s="3">
        <f>0</f>
        <v>0</v>
      </c>
      <c r="G137" s="3">
        <f>0</f>
        <v>0</v>
      </c>
      <c r="H137" s="3">
        <f t="shared" si="17"/>
        <v>0</v>
      </c>
      <c r="I137" s="3">
        <f>((22737+0+0)-(0+0))</f>
        <v>22737</v>
      </c>
    </row>
    <row r="138" spans="1:9" ht="14" x14ac:dyDescent="0.3">
      <c r="A138" s="2" t="s">
        <v>24</v>
      </c>
      <c r="B138" s="3">
        <f>166471</f>
        <v>166471</v>
      </c>
      <c r="C138" s="3">
        <f>0</f>
        <v>0</v>
      </c>
      <c r="D138" s="3">
        <f>0</f>
        <v>0</v>
      </c>
      <c r="E138" s="3">
        <f>(166471+0+0)</f>
        <v>166471</v>
      </c>
      <c r="F138" s="3">
        <f>0</f>
        <v>0</v>
      </c>
      <c r="G138" s="3">
        <f>0</f>
        <v>0</v>
      </c>
      <c r="H138" s="3">
        <f t="shared" si="17"/>
        <v>0</v>
      </c>
      <c r="I138" s="3">
        <f>((166471+0+0)-(0+0))</f>
        <v>166471</v>
      </c>
    </row>
    <row r="139" spans="1:9" ht="14" x14ac:dyDescent="0.3">
      <c r="A139" s="2" t="s">
        <v>25</v>
      </c>
      <c r="B139" s="3">
        <f>(-20)</f>
        <v>-20</v>
      </c>
      <c r="C139" s="3">
        <f>0</f>
        <v>0</v>
      </c>
      <c r="D139" s="3">
        <f>0</f>
        <v>0</v>
      </c>
      <c r="E139" s="3">
        <f>((-20)+0+0)</f>
        <v>-20</v>
      </c>
      <c r="F139" s="3">
        <f>0</f>
        <v>0</v>
      </c>
      <c r="G139" s="3">
        <f>0</f>
        <v>0</v>
      </c>
      <c r="H139" s="3">
        <f t="shared" si="17"/>
        <v>0</v>
      </c>
      <c r="I139" s="3">
        <f>(((-20)+0+0)-(0+0))</f>
        <v>-20</v>
      </c>
    </row>
    <row r="140" spans="1:9" ht="14" x14ac:dyDescent="0.3">
      <c r="A140" s="2" t="s">
        <v>26</v>
      </c>
      <c r="B140" s="3">
        <f>208553</f>
        <v>208553</v>
      </c>
      <c r="C140" s="3">
        <f>0</f>
        <v>0</v>
      </c>
      <c r="D140" s="3">
        <f>0</f>
        <v>0</v>
      </c>
      <c r="E140" s="3">
        <f>(208553+0+0)</f>
        <v>208553</v>
      </c>
      <c r="F140" s="3">
        <f>0</f>
        <v>0</v>
      </c>
      <c r="G140" s="3">
        <f>0</f>
        <v>0</v>
      </c>
      <c r="H140" s="3">
        <f t="shared" si="17"/>
        <v>0</v>
      </c>
      <c r="I140" s="3">
        <f>((208553+0+0)-(0+0))</f>
        <v>208553</v>
      </c>
    </row>
    <row r="141" spans="1:9" ht="14" x14ac:dyDescent="0.3">
      <c r="A141" s="5" t="s">
        <v>33</v>
      </c>
      <c r="B141" s="5"/>
      <c r="C141" s="5"/>
      <c r="D141" s="5"/>
      <c r="E141" s="5"/>
      <c r="F141" s="5"/>
      <c r="G141" s="5"/>
      <c r="H141" s="5"/>
      <c r="I141" s="5"/>
    </row>
    <row r="142" spans="1:9" ht="14" x14ac:dyDescent="0.3">
      <c r="A142" s="4" t="s">
        <v>1</v>
      </c>
      <c r="B142" s="1" t="s">
        <v>2</v>
      </c>
      <c r="C142" s="1" t="s">
        <v>3</v>
      </c>
      <c r="D142" s="1" t="s">
        <v>4</v>
      </c>
      <c r="E142" s="1" t="s">
        <v>5</v>
      </c>
      <c r="F142" s="1" t="s">
        <v>6</v>
      </c>
      <c r="G142" s="1" t="s">
        <v>7</v>
      </c>
      <c r="H142" s="1" t="s">
        <v>8</v>
      </c>
      <c r="I142" s="1" t="s">
        <v>9</v>
      </c>
    </row>
    <row r="143" spans="1:9" ht="14" x14ac:dyDescent="0.3">
      <c r="A143" s="4"/>
      <c r="B143" s="1">
        <v>2023</v>
      </c>
      <c r="C143" s="1">
        <v>2023</v>
      </c>
      <c r="D143" s="1">
        <v>2023</v>
      </c>
      <c r="E143" s="1">
        <v>2023</v>
      </c>
      <c r="F143" s="1">
        <v>2023</v>
      </c>
      <c r="G143" s="1">
        <v>2023</v>
      </c>
      <c r="H143" s="1">
        <v>2023</v>
      </c>
      <c r="I143" s="1">
        <v>2023</v>
      </c>
    </row>
    <row r="144" spans="1:9" ht="14" x14ac:dyDescent="0.3">
      <c r="A144" s="2" t="s">
        <v>10</v>
      </c>
      <c r="B144" s="3">
        <f>122411</f>
        <v>122411</v>
      </c>
      <c r="C144" s="3">
        <f>0</f>
        <v>0</v>
      </c>
      <c r="D144" s="3">
        <f>0</f>
        <v>0</v>
      </c>
      <c r="E144" s="3">
        <f>(122411+0+0)</f>
        <v>122411</v>
      </c>
      <c r="F144" s="3">
        <f>0</f>
        <v>0</v>
      </c>
      <c r="G144" s="3">
        <f>0</f>
        <v>0</v>
      </c>
      <c r="H144" s="3">
        <f>(0+0)</f>
        <v>0</v>
      </c>
      <c r="I144" s="3">
        <f>((122411+0+0)-(0+0))</f>
        <v>122411</v>
      </c>
    </row>
    <row r="145" spans="1:9" ht="14" x14ac:dyDescent="0.3">
      <c r="A145" s="2" t="s">
        <v>11</v>
      </c>
      <c r="B145" s="3">
        <f>0</f>
        <v>0</v>
      </c>
      <c r="C145" s="3">
        <f>0</f>
        <v>0</v>
      </c>
      <c r="D145" s="3">
        <f>0</f>
        <v>0</v>
      </c>
      <c r="E145" s="3">
        <f>(0+0+0)</f>
        <v>0</v>
      </c>
      <c r="F145" s="3">
        <f>0</f>
        <v>0</v>
      </c>
      <c r="G145" s="3">
        <f>0</f>
        <v>0</v>
      </c>
      <c r="H145" s="3">
        <f>(0+0)</f>
        <v>0</v>
      </c>
      <c r="I145" s="3">
        <f>((0+0+0)-(0+0))</f>
        <v>0</v>
      </c>
    </row>
    <row r="146" spans="1:9" ht="14" x14ac:dyDescent="0.3">
      <c r="A146" s="2" t="s">
        <v>12</v>
      </c>
      <c r="B146" s="3">
        <f>305696</f>
        <v>305696</v>
      </c>
      <c r="C146" s="3">
        <f>0</f>
        <v>0</v>
      </c>
      <c r="D146" s="3">
        <f>0</f>
        <v>0</v>
      </c>
      <c r="E146" s="3">
        <f>(305696+0+0)</f>
        <v>305696</v>
      </c>
      <c r="F146" s="3">
        <f>0</f>
        <v>0</v>
      </c>
      <c r="G146" s="3">
        <f>0</f>
        <v>0</v>
      </c>
      <c r="H146" s="3">
        <f>(0+0)</f>
        <v>0</v>
      </c>
      <c r="I146" s="3">
        <f>((305696+0+0)-(0+0))</f>
        <v>305696</v>
      </c>
    </row>
    <row r="147" spans="1:9" ht="14" x14ac:dyDescent="0.3">
      <c r="A147" s="2" t="s">
        <v>13</v>
      </c>
      <c r="B147" s="3">
        <f>85302</f>
        <v>85302</v>
      </c>
      <c r="C147" s="3">
        <f>11120</f>
        <v>11120</v>
      </c>
      <c r="D147" s="3">
        <f>0</f>
        <v>0</v>
      </c>
      <c r="E147" s="3">
        <f>(85302+11120+0)</f>
        <v>96422</v>
      </c>
      <c r="F147" s="3">
        <f>2666</f>
        <v>2666</v>
      </c>
      <c r="G147" s="3">
        <f>45209</f>
        <v>45209</v>
      </c>
      <c r="H147" s="3">
        <f>(2666+45209)</f>
        <v>47875</v>
      </c>
      <c r="I147" s="3">
        <f>((85302+11120+0)-(2666+45209))</f>
        <v>48547</v>
      </c>
    </row>
    <row r="148" spans="1:9" ht="14" x14ac:dyDescent="0.3">
      <c r="A148" s="2" t="s">
        <v>14</v>
      </c>
      <c r="B148" s="3">
        <f>93937</f>
        <v>93937</v>
      </c>
      <c r="C148" s="3">
        <f>0</f>
        <v>0</v>
      </c>
      <c r="D148" s="3">
        <f>0</f>
        <v>0</v>
      </c>
      <c r="E148" s="3">
        <f>(93937+0+0)</f>
        <v>93937</v>
      </c>
      <c r="F148" s="3">
        <f>0</f>
        <v>0</v>
      </c>
      <c r="G148" s="3">
        <f>0</f>
        <v>0</v>
      </c>
      <c r="H148" s="3">
        <f t="shared" ref="H148:H160" si="18">(0+0)</f>
        <v>0</v>
      </c>
      <c r="I148" s="3">
        <f>((93937+0+0)-(0+0))</f>
        <v>93937</v>
      </c>
    </row>
    <row r="149" spans="1:9" ht="14" x14ac:dyDescent="0.3">
      <c r="A149" s="2" t="s">
        <v>15</v>
      </c>
      <c r="B149" s="3">
        <f>742963</f>
        <v>742963</v>
      </c>
      <c r="C149" s="3">
        <f>0</f>
        <v>0</v>
      </c>
      <c r="D149" s="3">
        <f>0</f>
        <v>0</v>
      </c>
      <c r="E149" s="3">
        <f>(742963+0+0)</f>
        <v>742963</v>
      </c>
      <c r="F149" s="3">
        <f>0</f>
        <v>0</v>
      </c>
      <c r="G149" s="3">
        <f>0</f>
        <v>0</v>
      </c>
      <c r="H149" s="3">
        <f t="shared" si="18"/>
        <v>0</v>
      </c>
      <c r="I149" s="3">
        <f>((742963+0+0)-(0+0))</f>
        <v>742963</v>
      </c>
    </row>
    <row r="150" spans="1:9" ht="14" x14ac:dyDescent="0.3">
      <c r="A150" s="2" t="s">
        <v>16</v>
      </c>
      <c r="B150" s="3">
        <f>49787</f>
        <v>49787</v>
      </c>
      <c r="C150" s="3">
        <f>0</f>
        <v>0</v>
      </c>
      <c r="D150" s="3">
        <f>0</f>
        <v>0</v>
      </c>
      <c r="E150" s="3">
        <f>(49787+0+0)</f>
        <v>49787</v>
      </c>
      <c r="F150" s="3">
        <f>0</f>
        <v>0</v>
      </c>
      <c r="G150" s="3">
        <f>0</f>
        <v>0</v>
      </c>
      <c r="H150" s="3">
        <f t="shared" si="18"/>
        <v>0</v>
      </c>
      <c r="I150" s="3">
        <f>((49787+0+0)-(0+0))</f>
        <v>49787</v>
      </c>
    </row>
    <row r="151" spans="1:9" ht="14" x14ac:dyDescent="0.3">
      <c r="A151" s="2" t="s">
        <v>17</v>
      </c>
      <c r="B151" s="3">
        <f>1431</f>
        <v>1431</v>
      </c>
      <c r="C151" s="3">
        <f>2402</f>
        <v>2402</v>
      </c>
      <c r="D151" s="3">
        <f>0</f>
        <v>0</v>
      </c>
      <c r="E151" s="3">
        <f>(1431+2402+0)</f>
        <v>3833</v>
      </c>
      <c r="F151" s="3">
        <f>0</f>
        <v>0</v>
      </c>
      <c r="G151" s="3">
        <f>0</f>
        <v>0</v>
      </c>
      <c r="H151" s="3">
        <f t="shared" si="18"/>
        <v>0</v>
      </c>
      <c r="I151" s="3">
        <f>((1431+2402+0)-(0+0))</f>
        <v>3833</v>
      </c>
    </row>
    <row r="152" spans="1:9" ht="14" x14ac:dyDescent="0.3">
      <c r="A152" s="2" t="s">
        <v>18</v>
      </c>
      <c r="B152" s="3">
        <f>37343</f>
        <v>37343</v>
      </c>
      <c r="C152" s="3">
        <f>0</f>
        <v>0</v>
      </c>
      <c r="D152" s="3">
        <f>0</f>
        <v>0</v>
      </c>
      <c r="E152" s="3">
        <f>(37343+0+0)</f>
        <v>37343</v>
      </c>
      <c r="F152" s="3">
        <f>0</f>
        <v>0</v>
      </c>
      <c r="G152" s="3">
        <f>0</f>
        <v>0</v>
      </c>
      <c r="H152" s="3">
        <f t="shared" si="18"/>
        <v>0</v>
      </c>
      <c r="I152" s="3">
        <f>((37343+0+0)-(0+0))</f>
        <v>37343</v>
      </c>
    </row>
    <row r="153" spans="1:9" ht="14" x14ac:dyDescent="0.3">
      <c r="A153" s="2" t="s">
        <v>19</v>
      </c>
      <c r="B153" s="3">
        <f>216424</f>
        <v>216424</v>
      </c>
      <c r="C153" s="3">
        <f>0</f>
        <v>0</v>
      </c>
      <c r="D153" s="3">
        <f>0</f>
        <v>0</v>
      </c>
      <c r="E153" s="3">
        <f>(216424+0+0)</f>
        <v>216424</v>
      </c>
      <c r="F153" s="3">
        <f>0</f>
        <v>0</v>
      </c>
      <c r="G153" s="3">
        <f>0</f>
        <v>0</v>
      </c>
      <c r="H153" s="3">
        <f t="shared" si="18"/>
        <v>0</v>
      </c>
      <c r="I153" s="3">
        <f>((216424+0+0)-(0+0))</f>
        <v>216424</v>
      </c>
    </row>
    <row r="154" spans="1:9" ht="14" x14ac:dyDescent="0.3">
      <c r="A154" s="2" t="s">
        <v>20</v>
      </c>
      <c r="B154" s="3">
        <f>39054</f>
        <v>39054</v>
      </c>
      <c r="C154" s="3">
        <f>0</f>
        <v>0</v>
      </c>
      <c r="D154" s="3">
        <f>0</f>
        <v>0</v>
      </c>
      <c r="E154" s="3">
        <f>(39054+0+0)</f>
        <v>39054</v>
      </c>
      <c r="F154" s="3">
        <f>0</f>
        <v>0</v>
      </c>
      <c r="G154" s="3">
        <f>0</f>
        <v>0</v>
      </c>
      <c r="H154" s="3">
        <f t="shared" si="18"/>
        <v>0</v>
      </c>
      <c r="I154" s="3">
        <f>((39054+0+0)-(0+0))</f>
        <v>39054</v>
      </c>
    </row>
    <row r="155" spans="1:9" ht="14" x14ac:dyDescent="0.3">
      <c r="A155" s="2" t="s">
        <v>21</v>
      </c>
      <c r="B155" s="3">
        <f>0</f>
        <v>0</v>
      </c>
      <c r="C155" s="3">
        <f>0</f>
        <v>0</v>
      </c>
      <c r="D155" s="3">
        <f>0</f>
        <v>0</v>
      </c>
      <c r="E155" s="3">
        <f>(0+0+0)</f>
        <v>0</v>
      </c>
      <c r="F155" s="3">
        <f>0</f>
        <v>0</v>
      </c>
      <c r="G155" s="3">
        <f>0</f>
        <v>0</v>
      </c>
      <c r="H155" s="3">
        <f t="shared" si="18"/>
        <v>0</v>
      </c>
      <c r="I155" s="3">
        <f>((0+0+0)-(0+0))</f>
        <v>0</v>
      </c>
    </row>
    <row r="156" spans="1:9" ht="14" x14ac:dyDescent="0.3">
      <c r="A156" s="2" t="s">
        <v>22</v>
      </c>
      <c r="B156" s="3">
        <f>270505</f>
        <v>270505</v>
      </c>
      <c r="C156" s="3">
        <f>0</f>
        <v>0</v>
      </c>
      <c r="D156" s="3">
        <f>0</f>
        <v>0</v>
      </c>
      <c r="E156" s="3">
        <f>(270505+0+0)</f>
        <v>270505</v>
      </c>
      <c r="F156" s="3">
        <f>0</f>
        <v>0</v>
      </c>
      <c r="G156" s="3">
        <f>0</f>
        <v>0</v>
      </c>
      <c r="H156" s="3">
        <f t="shared" si="18"/>
        <v>0</v>
      </c>
      <c r="I156" s="3">
        <f>((270505+0+0)-(0+0))</f>
        <v>270505</v>
      </c>
    </row>
    <row r="157" spans="1:9" ht="14" x14ac:dyDescent="0.3">
      <c r="A157" s="2" t="s">
        <v>23</v>
      </c>
      <c r="B157" s="3">
        <f>65568</f>
        <v>65568</v>
      </c>
      <c r="C157" s="3">
        <f>0</f>
        <v>0</v>
      </c>
      <c r="D157" s="3">
        <f>0</f>
        <v>0</v>
      </c>
      <c r="E157" s="3">
        <f>(65568+0+0)</f>
        <v>65568</v>
      </c>
      <c r="F157" s="3">
        <f>0</f>
        <v>0</v>
      </c>
      <c r="G157" s="3">
        <f>0</f>
        <v>0</v>
      </c>
      <c r="H157" s="3">
        <f t="shared" si="18"/>
        <v>0</v>
      </c>
      <c r="I157" s="3">
        <f>((65568+0+0)-(0+0))</f>
        <v>65568</v>
      </c>
    </row>
    <row r="158" spans="1:9" ht="14" x14ac:dyDescent="0.3">
      <c r="A158" s="2" t="s">
        <v>24</v>
      </c>
      <c r="B158" s="3">
        <f>212999</f>
        <v>212999</v>
      </c>
      <c r="C158" s="3">
        <f>0</f>
        <v>0</v>
      </c>
      <c r="D158" s="3">
        <f>0</f>
        <v>0</v>
      </c>
      <c r="E158" s="3">
        <f>(212999+0+0)</f>
        <v>212999</v>
      </c>
      <c r="F158" s="3">
        <f>0</f>
        <v>0</v>
      </c>
      <c r="G158" s="3">
        <f>0</f>
        <v>0</v>
      </c>
      <c r="H158" s="3">
        <f t="shared" si="18"/>
        <v>0</v>
      </c>
      <c r="I158" s="3">
        <f>((212999+0+0)-(0+0))</f>
        <v>212999</v>
      </c>
    </row>
    <row r="159" spans="1:9" ht="14" x14ac:dyDescent="0.3">
      <c r="A159" s="2" t="s">
        <v>25</v>
      </c>
      <c r="B159" s="3">
        <f>552713</f>
        <v>552713</v>
      </c>
      <c r="C159" s="3">
        <f>0</f>
        <v>0</v>
      </c>
      <c r="D159" s="3">
        <f>0</f>
        <v>0</v>
      </c>
      <c r="E159" s="3">
        <f>(552713+0+0)</f>
        <v>552713</v>
      </c>
      <c r="F159" s="3">
        <f>0</f>
        <v>0</v>
      </c>
      <c r="G159" s="3">
        <f>0</f>
        <v>0</v>
      </c>
      <c r="H159" s="3">
        <f t="shared" si="18"/>
        <v>0</v>
      </c>
      <c r="I159" s="3">
        <f>((552713+0+0)-(0+0))</f>
        <v>552713</v>
      </c>
    </row>
    <row r="160" spans="1:9" ht="14" x14ac:dyDescent="0.3">
      <c r="A160" s="2" t="s">
        <v>26</v>
      </c>
      <c r="B160" s="3">
        <f>196477</f>
        <v>196477</v>
      </c>
      <c r="C160" s="3">
        <f>0</f>
        <v>0</v>
      </c>
      <c r="D160" s="3">
        <f>0</f>
        <v>0</v>
      </c>
      <c r="E160" s="3">
        <f>(196477+0+0)</f>
        <v>196477</v>
      </c>
      <c r="F160" s="3">
        <f>0</f>
        <v>0</v>
      </c>
      <c r="G160" s="3">
        <f>0</f>
        <v>0</v>
      </c>
      <c r="H160" s="3">
        <f t="shared" si="18"/>
        <v>0</v>
      </c>
      <c r="I160" s="3">
        <f>((196477+0+0)-(0+0))</f>
        <v>196477</v>
      </c>
    </row>
    <row r="161" spans="1:9" ht="14" x14ac:dyDescent="0.3">
      <c r="A161" s="5" t="s">
        <v>34</v>
      </c>
      <c r="B161" s="5"/>
      <c r="C161" s="5"/>
      <c r="D161" s="5"/>
      <c r="E161" s="5"/>
      <c r="F161" s="5"/>
      <c r="G161" s="5"/>
      <c r="H161" s="5"/>
      <c r="I161" s="5"/>
    </row>
    <row r="162" spans="1:9" ht="14" x14ac:dyDescent="0.3">
      <c r="A162" s="4" t="s">
        <v>1</v>
      </c>
      <c r="B162" s="1" t="s">
        <v>2</v>
      </c>
      <c r="C162" s="1" t="s">
        <v>3</v>
      </c>
      <c r="D162" s="1" t="s">
        <v>4</v>
      </c>
      <c r="E162" s="1" t="s">
        <v>5</v>
      </c>
      <c r="F162" s="1" t="s">
        <v>6</v>
      </c>
      <c r="G162" s="1" t="s">
        <v>7</v>
      </c>
      <c r="H162" s="1" t="s">
        <v>8</v>
      </c>
      <c r="I162" s="1" t="s">
        <v>9</v>
      </c>
    </row>
    <row r="163" spans="1:9" ht="14" x14ac:dyDescent="0.3">
      <c r="A163" s="4"/>
      <c r="B163" s="1">
        <v>2023</v>
      </c>
      <c r="C163" s="1">
        <v>2023</v>
      </c>
      <c r="D163" s="1">
        <v>2023</v>
      </c>
      <c r="E163" s="1">
        <v>2023</v>
      </c>
      <c r="F163" s="1">
        <v>2023</v>
      </c>
      <c r="G163" s="1">
        <v>2023</v>
      </c>
      <c r="H163" s="1">
        <v>2023</v>
      </c>
      <c r="I163" s="1">
        <v>2023</v>
      </c>
    </row>
    <row r="164" spans="1:9" ht="14" x14ac:dyDescent="0.3">
      <c r="A164" s="2" t="s">
        <v>10</v>
      </c>
      <c r="B164" s="3">
        <f>0</f>
        <v>0</v>
      </c>
      <c r="C164" s="3">
        <f>0</f>
        <v>0</v>
      </c>
      <c r="D164" s="3">
        <f>0</f>
        <v>0</v>
      </c>
      <c r="E164" s="3">
        <f>(0+0+0)</f>
        <v>0</v>
      </c>
      <c r="F164" s="3">
        <f>0</f>
        <v>0</v>
      </c>
      <c r="G164" s="3">
        <f>0</f>
        <v>0</v>
      </c>
      <c r="H164" s="3">
        <f t="shared" ref="H164:H180" si="19">(0+0)</f>
        <v>0</v>
      </c>
      <c r="I164" s="3">
        <f>((0+0+0)-(0+0))</f>
        <v>0</v>
      </c>
    </row>
    <row r="165" spans="1:9" ht="14" x14ac:dyDescent="0.3">
      <c r="A165" s="2" t="s">
        <v>11</v>
      </c>
      <c r="B165" s="3">
        <f>1231545</f>
        <v>1231545</v>
      </c>
      <c r="C165" s="3">
        <f>0</f>
        <v>0</v>
      </c>
      <c r="D165" s="3">
        <f>0</f>
        <v>0</v>
      </c>
      <c r="E165" s="3">
        <f>(1231545+0+0)</f>
        <v>1231545</v>
      </c>
      <c r="F165" s="3">
        <f>0</f>
        <v>0</v>
      </c>
      <c r="G165" s="3">
        <f>0</f>
        <v>0</v>
      </c>
      <c r="H165" s="3">
        <f t="shared" si="19"/>
        <v>0</v>
      </c>
      <c r="I165" s="3">
        <f>((1231545+0+0)-(0+0))</f>
        <v>1231545</v>
      </c>
    </row>
    <row r="166" spans="1:9" ht="14" x14ac:dyDescent="0.3">
      <c r="A166" s="2" t="s">
        <v>12</v>
      </c>
      <c r="B166" s="3">
        <f>21831</f>
        <v>21831</v>
      </c>
      <c r="C166" s="3">
        <f>0</f>
        <v>0</v>
      </c>
      <c r="D166" s="3">
        <f>0</f>
        <v>0</v>
      </c>
      <c r="E166" s="3">
        <f>(21831+0+0)</f>
        <v>21831</v>
      </c>
      <c r="F166" s="3">
        <f>0</f>
        <v>0</v>
      </c>
      <c r="G166" s="3">
        <f>0</f>
        <v>0</v>
      </c>
      <c r="H166" s="3">
        <f t="shared" si="19"/>
        <v>0</v>
      </c>
      <c r="I166" s="3">
        <f>((21831+0+0)-(0+0))</f>
        <v>21831</v>
      </c>
    </row>
    <row r="167" spans="1:9" ht="14" x14ac:dyDescent="0.3">
      <c r="A167" s="2" t="s">
        <v>13</v>
      </c>
      <c r="B167" s="3">
        <f>0</f>
        <v>0</v>
      </c>
      <c r="C167" s="3">
        <f>0</f>
        <v>0</v>
      </c>
      <c r="D167" s="3">
        <f>0</f>
        <v>0</v>
      </c>
      <c r="E167" s="3">
        <f>(0+0+0)</f>
        <v>0</v>
      </c>
      <c r="F167" s="3">
        <f>0</f>
        <v>0</v>
      </c>
      <c r="G167" s="3">
        <f>0</f>
        <v>0</v>
      </c>
      <c r="H167" s="3">
        <f t="shared" si="19"/>
        <v>0</v>
      </c>
      <c r="I167" s="3">
        <f>((0+0+0)-(0+0))</f>
        <v>0</v>
      </c>
    </row>
    <row r="168" spans="1:9" ht="14" x14ac:dyDescent="0.3">
      <c r="A168" s="2" t="s">
        <v>14</v>
      </c>
      <c r="B168" s="3">
        <f>183902</f>
        <v>183902</v>
      </c>
      <c r="C168" s="3">
        <f>0</f>
        <v>0</v>
      </c>
      <c r="D168" s="3">
        <f>0</f>
        <v>0</v>
      </c>
      <c r="E168" s="3">
        <f>(183902+0+0)</f>
        <v>183902</v>
      </c>
      <c r="F168" s="3">
        <f>0</f>
        <v>0</v>
      </c>
      <c r="G168" s="3">
        <f>0</f>
        <v>0</v>
      </c>
      <c r="H168" s="3">
        <f t="shared" si="19"/>
        <v>0</v>
      </c>
      <c r="I168" s="3">
        <f>((183902+0+0)-(0+0))</f>
        <v>183902</v>
      </c>
    </row>
    <row r="169" spans="1:9" ht="14" x14ac:dyDescent="0.3">
      <c r="A169" s="2" t="s">
        <v>15</v>
      </c>
      <c r="B169" s="3">
        <f>0</f>
        <v>0</v>
      </c>
      <c r="C169" s="3">
        <f>0</f>
        <v>0</v>
      </c>
      <c r="D169" s="3">
        <f>0</f>
        <v>0</v>
      </c>
      <c r="E169" s="3">
        <f>(0+0+0)</f>
        <v>0</v>
      </c>
      <c r="F169" s="3">
        <f>0</f>
        <v>0</v>
      </c>
      <c r="G169" s="3">
        <f>0</f>
        <v>0</v>
      </c>
      <c r="H169" s="3">
        <f t="shared" si="19"/>
        <v>0</v>
      </c>
      <c r="I169" s="3">
        <f>((0+0+0)-(0+0))</f>
        <v>0</v>
      </c>
    </row>
    <row r="170" spans="1:9" ht="14" x14ac:dyDescent="0.3">
      <c r="A170" s="2" t="s">
        <v>16</v>
      </c>
      <c r="B170" s="3">
        <f>277714</f>
        <v>277714</v>
      </c>
      <c r="C170" s="3">
        <f>0</f>
        <v>0</v>
      </c>
      <c r="D170" s="3">
        <f>0</f>
        <v>0</v>
      </c>
      <c r="E170" s="3">
        <f>(277714+0+0)</f>
        <v>277714</v>
      </c>
      <c r="F170" s="3">
        <f>0</f>
        <v>0</v>
      </c>
      <c r="G170" s="3">
        <f>0</f>
        <v>0</v>
      </c>
      <c r="H170" s="3">
        <f t="shared" si="19"/>
        <v>0</v>
      </c>
      <c r="I170" s="3">
        <f>((277714+0+0)-(0+0))</f>
        <v>277714</v>
      </c>
    </row>
    <row r="171" spans="1:9" ht="14" x14ac:dyDescent="0.3">
      <c r="A171" s="2" t="s">
        <v>17</v>
      </c>
      <c r="B171" s="3">
        <f>0</f>
        <v>0</v>
      </c>
      <c r="C171" s="3">
        <f>0</f>
        <v>0</v>
      </c>
      <c r="D171" s="3">
        <f>0</f>
        <v>0</v>
      </c>
      <c r="E171" s="3">
        <f>(0+0+0)</f>
        <v>0</v>
      </c>
      <c r="F171" s="3">
        <f>0</f>
        <v>0</v>
      </c>
      <c r="G171" s="3">
        <f>0</f>
        <v>0</v>
      </c>
      <c r="H171" s="3">
        <f t="shared" si="19"/>
        <v>0</v>
      </c>
      <c r="I171" s="3">
        <f>((0+0+0)-(0+0))</f>
        <v>0</v>
      </c>
    </row>
    <row r="172" spans="1:9" ht="14" x14ac:dyDescent="0.3">
      <c r="A172" s="2" t="s">
        <v>18</v>
      </c>
      <c r="B172" s="3">
        <f>0</f>
        <v>0</v>
      </c>
      <c r="C172" s="3">
        <f>0</f>
        <v>0</v>
      </c>
      <c r="D172" s="3">
        <f>0</f>
        <v>0</v>
      </c>
      <c r="E172" s="3">
        <f>(0+0+0)</f>
        <v>0</v>
      </c>
      <c r="F172" s="3">
        <f>0</f>
        <v>0</v>
      </c>
      <c r="G172" s="3">
        <f>0</f>
        <v>0</v>
      </c>
      <c r="H172" s="3">
        <f t="shared" si="19"/>
        <v>0</v>
      </c>
      <c r="I172" s="3">
        <f>((0+0+0)-(0+0))</f>
        <v>0</v>
      </c>
    </row>
    <row r="173" spans="1:9" ht="14" x14ac:dyDescent="0.3">
      <c r="A173" s="2" t="s">
        <v>19</v>
      </c>
      <c r="B173" s="3">
        <f>478618</f>
        <v>478618</v>
      </c>
      <c r="C173" s="3">
        <f>0</f>
        <v>0</v>
      </c>
      <c r="D173" s="3">
        <f>0</f>
        <v>0</v>
      </c>
      <c r="E173" s="3">
        <f>(478618+0+0)</f>
        <v>478618</v>
      </c>
      <c r="F173" s="3">
        <f>0</f>
        <v>0</v>
      </c>
      <c r="G173" s="3">
        <f>0</f>
        <v>0</v>
      </c>
      <c r="H173" s="3">
        <f t="shared" si="19"/>
        <v>0</v>
      </c>
      <c r="I173" s="3">
        <f>((478618+0+0)-(0+0))</f>
        <v>478618</v>
      </c>
    </row>
    <row r="174" spans="1:9" ht="14" x14ac:dyDescent="0.3">
      <c r="A174" s="2" t="s">
        <v>20</v>
      </c>
      <c r="B174" s="3">
        <f>133502</f>
        <v>133502</v>
      </c>
      <c r="C174" s="3">
        <f>0</f>
        <v>0</v>
      </c>
      <c r="D174" s="3">
        <f>0</f>
        <v>0</v>
      </c>
      <c r="E174" s="3">
        <f>(133502+0+0)</f>
        <v>133502</v>
      </c>
      <c r="F174" s="3">
        <f>0</f>
        <v>0</v>
      </c>
      <c r="G174" s="3">
        <f>0</f>
        <v>0</v>
      </c>
      <c r="H174" s="3">
        <f t="shared" si="19"/>
        <v>0</v>
      </c>
      <c r="I174" s="3">
        <f>((133502+0+0)-(0+0))</f>
        <v>133502</v>
      </c>
    </row>
    <row r="175" spans="1:9" ht="14" x14ac:dyDescent="0.3">
      <c r="A175" s="2" t="s">
        <v>21</v>
      </c>
      <c r="B175" s="3">
        <f>0</f>
        <v>0</v>
      </c>
      <c r="C175" s="3">
        <f>0</f>
        <v>0</v>
      </c>
      <c r="D175" s="3">
        <f>0</f>
        <v>0</v>
      </c>
      <c r="E175" s="3">
        <f>(0+0+0)</f>
        <v>0</v>
      </c>
      <c r="F175" s="3">
        <f>0</f>
        <v>0</v>
      </c>
      <c r="G175" s="3">
        <f>0</f>
        <v>0</v>
      </c>
      <c r="H175" s="3">
        <f t="shared" si="19"/>
        <v>0</v>
      </c>
      <c r="I175" s="3">
        <f>((0+0+0)-(0+0))</f>
        <v>0</v>
      </c>
    </row>
    <row r="176" spans="1:9" ht="14" x14ac:dyDescent="0.3">
      <c r="A176" s="2" t="s">
        <v>22</v>
      </c>
      <c r="B176" s="3">
        <f>596856</f>
        <v>596856</v>
      </c>
      <c r="C176" s="3">
        <f>0</f>
        <v>0</v>
      </c>
      <c r="D176" s="3">
        <f>0</f>
        <v>0</v>
      </c>
      <c r="E176" s="3">
        <f>(596856+0+0)</f>
        <v>596856</v>
      </c>
      <c r="F176" s="3">
        <f>0</f>
        <v>0</v>
      </c>
      <c r="G176" s="3">
        <f>0</f>
        <v>0</v>
      </c>
      <c r="H176" s="3">
        <f t="shared" si="19"/>
        <v>0</v>
      </c>
      <c r="I176" s="3">
        <f>((596856+0+0)-(0+0))</f>
        <v>596856</v>
      </c>
    </row>
    <row r="177" spans="1:9" ht="14" x14ac:dyDescent="0.3">
      <c r="A177" s="2" t="s">
        <v>23</v>
      </c>
      <c r="B177" s="3">
        <f>0</f>
        <v>0</v>
      </c>
      <c r="C177" s="3">
        <f>0</f>
        <v>0</v>
      </c>
      <c r="D177" s="3">
        <f>0</f>
        <v>0</v>
      </c>
      <c r="E177" s="3">
        <f>(0+0+0)</f>
        <v>0</v>
      </c>
      <c r="F177" s="3">
        <f>0</f>
        <v>0</v>
      </c>
      <c r="G177" s="3">
        <f>0</f>
        <v>0</v>
      </c>
      <c r="H177" s="3">
        <f t="shared" si="19"/>
        <v>0</v>
      </c>
      <c r="I177" s="3">
        <f>((0+0+0)-(0+0))</f>
        <v>0</v>
      </c>
    </row>
    <row r="178" spans="1:9" ht="14" x14ac:dyDescent="0.3">
      <c r="A178" s="2" t="s">
        <v>24</v>
      </c>
      <c r="B178" s="3">
        <f>28088</f>
        <v>28088</v>
      </c>
      <c r="C178" s="3">
        <f>0</f>
        <v>0</v>
      </c>
      <c r="D178" s="3">
        <f>0</f>
        <v>0</v>
      </c>
      <c r="E178" s="3">
        <f>(28088+0+0)</f>
        <v>28088</v>
      </c>
      <c r="F178" s="3">
        <f>0</f>
        <v>0</v>
      </c>
      <c r="G178" s="3">
        <f>0</f>
        <v>0</v>
      </c>
      <c r="H178" s="3">
        <f t="shared" si="19"/>
        <v>0</v>
      </c>
      <c r="I178" s="3">
        <f>((28088+0+0)-(0+0))</f>
        <v>28088</v>
      </c>
    </row>
    <row r="179" spans="1:9" ht="14" x14ac:dyDescent="0.3">
      <c r="A179" s="2" t="s">
        <v>25</v>
      </c>
      <c r="B179" s="3">
        <f>12945</f>
        <v>12945</v>
      </c>
      <c r="C179" s="3">
        <f>0</f>
        <v>0</v>
      </c>
      <c r="D179" s="3">
        <f>0</f>
        <v>0</v>
      </c>
      <c r="E179" s="3">
        <f>(12945+0+0)</f>
        <v>12945</v>
      </c>
      <c r="F179" s="3">
        <f>0</f>
        <v>0</v>
      </c>
      <c r="G179" s="3">
        <f>0</f>
        <v>0</v>
      </c>
      <c r="H179" s="3">
        <f t="shared" si="19"/>
        <v>0</v>
      </c>
      <c r="I179" s="3">
        <f>((12945+0+0)-(0+0))</f>
        <v>12945</v>
      </c>
    </row>
    <row r="180" spans="1:9" ht="14" x14ac:dyDescent="0.3">
      <c r="A180" s="2" t="s">
        <v>26</v>
      </c>
      <c r="B180" s="3">
        <f>657051</f>
        <v>657051</v>
      </c>
      <c r="C180" s="3">
        <f>0</f>
        <v>0</v>
      </c>
      <c r="D180" s="3">
        <f>0</f>
        <v>0</v>
      </c>
      <c r="E180" s="3">
        <f>(657051+0+0)</f>
        <v>657051</v>
      </c>
      <c r="F180" s="3">
        <f>0</f>
        <v>0</v>
      </c>
      <c r="G180" s="3">
        <f>0</f>
        <v>0</v>
      </c>
      <c r="H180" s="3">
        <f t="shared" si="19"/>
        <v>0</v>
      </c>
      <c r="I180" s="3">
        <f>((657051+0+0)-(0+0))</f>
        <v>657051</v>
      </c>
    </row>
    <row r="181" spans="1:9" ht="14" x14ac:dyDescent="0.3">
      <c r="A181" s="5" t="s">
        <v>35</v>
      </c>
      <c r="B181" s="5"/>
      <c r="C181" s="5"/>
      <c r="D181" s="5"/>
      <c r="E181" s="5"/>
      <c r="F181" s="5"/>
      <c r="G181" s="5"/>
      <c r="H181" s="5"/>
      <c r="I181" s="5"/>
    </row>
    <row r="182" spans="1:9" ht="14" x14ac:dyDescent="0.3">
      <c r="A182" s="4" t="s">
        <v>1</v>
      </c>
      <c r="B182" s="1" t="s">
        <v>2</v>
      </c>
      <c r="C182" s="1" t="s">
        <v>3</v>
      </c>
      <c r="D182" s="1" t="s">
        <v>4</v>
      </c>
      <c r="E182" s="1" t="s">
        <v>5</v>
      </c>
      <c r="F182" s="1" t="s">
        <v>6</v>
      </c>
      <c r="G182" s="1" t="s">
        <v>7</v>
      </c>
      <c r="H182" s="1" t="s">
        <v>8</v>
      </c>
      <c r="I182" s="1" t="s">
        <v>9</v>
      </c>
    </row>
    <row r="183" spans="1:9" ht="14" x14ac:dyDescent="0.3">
      <c r="A183" s="4"/>
      <c r="B183" s="1">
        <v>2023</v>
      </c>
      <c r="C183" s="1">
        <v>2023</v>
      </c>
      <c r="D183" s="1">
        <v>2023</v>
      </c>
      <c r="E183" s="1">
        <v>2023</v>
      </c>
      <c r="F183" s="1">
        <v>2023</v>
      </c>
      <c r="G183" s="1">
        <v>2023</v>
      </c>
      <c r="H183" s="1">
        <v>2023</v>
      </c>
      <c r="I183" s="1">
        <v>2023</v>
      </c>
    </row>
    <row r="184" spans="1:9" ht="14" x14ac:dyDescent="0.3">
      <c r="A184" s="2" t="s">
        <v>10</v>
      </c>
      <c r="B184" s="3">
        <f>1009057</f>
        <v>1009057</v>
      </c>
      <c r="C184" s="3">
        <f>0</f>
        <v>0</v>
      </c>
      <c r="D184" s="3">
        <f>0</f>
        <v>0</v>
      </c>
      <c r="E184" s="3">
        <f>(1009057+0+0)</f>
        <v>1009057</v>
      </c>
      <c r="F184" s="3">
        <f>0</f>
        <v>0</v>
      </c>
      <c r="G184" s="3">
        <f>0</f>
        <v>0</v>
      </c>
      <c r="H184" s="3">
        <f>(0+0)</f>
        <v>0</v>
      </c>
      <c r="I184" s="3">
        <f>((1009057+0+0)-(0+0))</f>
        <v>1009057</v>
      </c>
    </row>
    <row r="185" spans="1:9" ht="14" x14ac:dyDescent="0.3">
      <c r="A185" s="2" t="s">
        <v>11</v>
      </c>
      <c r="B185" s="3">
        <f>278941</f>
        <v>278941</v>
      </c>
      <c r="C185" s="3">
        <f>0</f>
        <v>0</v>
      </c>
      <c r="D185" s="3">
        <f>0</f>
        <v>0</v>
      </c>
      <c r="E185" s="3">
        <f>(278941+0+0)</f>
        <v>278941</v>
      </c>
      <c r="F185" s="3">
        <f>0</f>
        <v>0</v>
      </c>
      <c r="G185" s="3">
        <f>0</f>
        <v>0</v>
      </c>
      <c r="H185" s="3">
        <f>(0+0)</f>
        <v>0</v>
      </c>
      <c r="I185" s="3">
        <f>((278941+0+0)-(0+0))</f>
        <v>278941</v>
      </c>
    </row>
    <row r="186" spans="1:9" ht="14" x14ac:dyDescent="0.3">
      <c r="A186" s="2" t="s">
        <v>12</v>
      </c>
      <c r="B186" s="3">
        <f>575365</f>
        <v>575365</v>
      </c>
      <c r="C186" s="3">
        <f>0</f>
        <v>0</v>
      </c>
      <c r="D186" s="3">
        <f>0</f>
        <v>0</v>
      </c>
      <c r="E186" s="3">
        <f>(575365+0+0)</f>
        <v>575365</v>
      </c>
      <c r="F186" s="3">
        <f>0</f>
        <v>0</v>
      </c>
      <c r="G186" s="3">
        <f>0</f>
        <v>0</v>
      </c>
      <c r="H186" s="3">
        <f>(0+0)</f>
        <v>0</v>
      </c>
      <c r="I186" s="3">
        <f>((575365+0+0)-(0+0))</f>
        <v>575365</v>
      </c>
    </row>
    <row r="187" spans="1:9" ht="14" x14ac:dyDescent="0.3">
      <c r="A187" s="2" t="s">
        <v>13</v>
      </c>
      <c r="B187" s="3">
        <f>37187</f>
        <v>37187</v>
      </c>
      <c r="C187" s="3">
        <f>0</f>
        <v>0</v>
      </c>
      <c r="D187" s="3">
        <f>0</f>
        <v>0</v>
      </c>
      <c r="E187" s="3">
        <f>(37187+0+0)</f>
        <v>37187</v>
      </c>
      <c r="F187" s="3">
        <f>40</f>
        <v>40</v>
      </c>
      <c r="G187" s="3">
        <f>4067</f>
        <v>4067</v>
      </c>
      <c r="H187" s="3">
        <f>(40+4067)</f>
        <v>4107</v>
      </c>
      <c r="I187" s="3">
        <f>((37187+0+0)-(40+4067))</f>
        <v>33080</v>
      </c>
    </row>
    <row r="188" spans="1:9" ht="14" x14ac:dyDescent="0.3">
      <c r="A188" s="2" t="s">
        <v>14</v>
      </c>
      <c r="B188" s="3">
        <f>34297</f>
        <v>34297</v>
      </c>
      <c r="C188" s="3">
        <f>0</f>
        <v>0</v>
      </c>
      <c r="D188" s="3">
        <f>0</f>
        <v>0</v>
      </c>
      <c r="E188" s="3">
        <f>(34297+0+0)</f>
        <v>34297</v>
      </c>
      <c r="F188" s="3">
        <f>0</f>
        <v>0</v>
      </c>
      <c r="G188" s="3">
        <f>0</f>
        <v>0</v>
      </c>
      <c r="H188" s="3">
        <f t="shared" ref="H188:H200" si="20">(0+0)</f>
        <v>0</v>
      </c>
      <c r="I188" s="3">
        <f>((34297+0+0)-(0+0))</f>
        <v>34297</v>
      </c>
    </row>
    <row r="189" spans="1:9" ht="14" x14ac:dyDescent="0.3">
      <c r="A189" s="2" t="s">
        <v>15</v>
      </c>
      <c r="B189" s="3">
        <f>293367</f>
        <v>293367</v>
      </c>
      <c r="C189" s="3">
        <f>0</f>
        <v>0</v>
      </c>
      <c r="D189" s="3">
        <f>0</f>
        <v>0</v>
      </c>
      <c r="E189" s="3">
        <f>(293367+0+0)</f>
        <v>293367</v>
      </c>
      <c r="F189" s="3">
        <f>0</f>
        <v>0</v>
      </c>
      <c r="G189" s="3">
        <f>0</f>
        <v>0</v>
      </c>
      <c r="H189" s="3">
        <f t="shared" si="20"/>
        <v>0</v>
      </c>
      <c r="I189" s="3">
        <f>((293367+0+0)-(0+0))</f>
        <v>293367</v>
      </c>
    </row>
    <row r="190" spans="1:9" ht="14" x14ac:dyDescent="0.3">
      <c r="A190" s="2" t="s">
        <v>16</v>
      </c>
      <c r="B190" s="3">
        <f>19631</f>
        <v>19631</v>
      </c>
      <c r="C190" s="3">
        <f>0</f>
        <v>0</v>
      </c>
      <c r="D190" s="3">
        <f>0</f>
        <v>0</v>
      </c>
      <c r="E190" s="3">
        <f>(19631+0+0)</f>
        <v>19631</v>
      </c>
      <c r="F190" s="3">
        <f>0</f>
        <v>0</v>
      </c>
      <c r="G190" s="3">
        <f>0</f>
        <v>0</v>
      </c>
      <c r="H190" s="3">
        <f t="shared" si="20"/>
        <v>0</v>
      </c>
      <c r="I190" s="3">
        <f>((19631+0+0)-(0+0))</f>
        <v>19631</v>
      </c>
    </row>
    <row r="191" spans="1:9" ht="14" x14ac:dyDescent="0.3">
      <c r="A191" s="2" t="s">
        <v>17</v>
      </c>
      <c r="B191" s="3">
        <f>2793</f>
        <v>2793</v>
      </c>
      <c r="C191" s="3">
        <f>0</f>
        <v>0</v>
      </c>
      <c r="D191" s="3">
        <f>0</f>
        <v>0</v>
      </c>
      <c r="E191" s="3">
        <f>(2793+0+0)</f>
        <v>2793</v>
      </c>
      <c r="F191" s="3">
        <f>0</f>
        <v>0</v>
      </c>
      <c r="G191" s="3">
        <f>0</f>
        <v>0</v>
      </c>
      <c r="H191" s="3">
        <f t="shared" si="20"/>
        <v>0</v>
      </c>
      <c r="I191" s="3">
        <f>((2793+0+0)-(0+0))</f>
        <v>2793</v>
      </c>
    </row>
    <row r="192" spans="1:9" ht="14" x14ac:dyDescent="0.3">
      <c r="A192" s="2" t="s">
        <v>18</v>
      </c>
      <c r="B192" s="3">
        <f>6909</f>
        <v>6909</v>
      </c>
      <c r="C192" s="3">
        <f>0</f>
        <v>0</v>
      </c>
      <c r="D192" s="3">
        <f>0</f>
        <v>0</v>
      </c>
      <c r="E192" s="3">
        <f>(6909+0+0)</f>
        <v>6909</v>
      </c>
      <c r="F192" s="3">
        <f>0</f>
        <v>0</v>
      </c>
      <c r="G192" s="3">
        <f>0</f>
        <v>0</v>
      </c>
      <c r="H192" s="3">
        <f t="shared" si="20"/>
        <v>0</v>
      </c>
      <c r="I192" s="3">
        <f>((6909+0+0)-(0+0))</f>
        <v>6909</v>
      </c>
    </row>
    <row r="193" spans="1:9" ht="14" x14ac:dyDescent="0.3">
      <c r="A193" s="2" t="s">
        <v>19</v>
      </c>
      <c r="B193" s="3">
        <f>34317</f>
        <v>34317</v>
      </c>
      <c r="C193" s="3">
        <f>0</f>
        <v>0</v>
      </c>
      <c r="D193" s="3">
        <f>0</f>
        <v>0</v>
      </c>
      <c r="E193" s="3">
        <f>(34317+0+0)</f>
        <v>34317</v>
      </c>
      <c r="F193" s="3">
        <f>0</f>
        <v>0</v>
      </c>
      <c r="G193" s="3">
        <f>0</f>
        <v>0</v>
      </c>
      <c r="H193" s="3">
        <f t="shared" si="20"/>
        <v>0</v>
      </c>
      <c r="I193" s="3">
        <f>((34317+0+0)-(0+0))</f>
        <v>34317</v>
      </c>
    </row>
    <row r="194" spans="1:9" ht="14" x14ac:dyDescent="0.3">
      <c r="A194" s="2" t="s">
        <v>20</v>
      </c>
      <c r="B194" s="3">
        <f>40792</f>
        <v>40792</v>
      </c>
      <c r="C194" s="3">
        <f>0</f>
        <v>0</v>
      </c>
      <c r="D194" s="3">
        <f>0</f>
        <v>0</v>
      </c>
      <c r="E194" s="3">
        <f>(40792+0+0)</f>
        <v>40792</v>
      </c>
      <c r="F194" s="3">
        <f>0</f>
        <v>0</v>
      </c>
      <c r="G194" s="3">
        <f>0</f>
        <v>0</v>
      </c>
      <c r="H194" s="3">
        <f t="shared" si="20"/>
        <v>0</v>
      </c>
      <c r="I194" s="3">
        <f>((40792+0+0)-(0+0))</f>
        <v>40792</v>
      </c>
    </row>
    <row r="195" spans="1:9" ht="14" x14ac:dyDescent="0.3">
      <c r="A195" s="2" t="s">
        <v>21</v>
      </c>
      <c r="B195" s="3">
        <f>0</f>
        <v>0</v>
      </c>
      <c r="C195" s="3">
        <f>0</f>
        <v>0</v>
      </c>
      <c r="D195" s="3">
        <f>0</f>
        <v>0</v>
      </c>
      <c r="E195" s="3">
        <f>(0+0+0)</f>
        <v>0</v>
      </c>
      <c r="F195" s="3">
        <f>0</f>
        <v>0</v>
      </c>
      <c r="G195" s="3">
        <f>0</f>
        <v>0</v>
      </c>
      <c r="H195" s="3">
        <f t="shared" si="20"/>
        <v>0</v>
      </c>
      <c r="I195" s="3">
        <f>((0+0+0)-(0+0))</f>
        <v>0</v>
      </c>
    </row>
    <row r="196" spans="1:9" ht="14" x14ac:dyDescent="0.3">
      <c r="A196" s="2" t="s">
        <v>22</v>
      </c>
      <c r="B196" s="3">
        <f>528370</f>
        <v>528370</v>
      </c>
      <c r="C196" s="3">
        <f>0</f>
        <v>0</v>
      </c>
      <c r="D196" s="3">
        <f>0</f>
        <v>0</v>
      </c>
      <c r="E196" s="3">
        <f>(528370+0+0)</f>
        <v>528370</v>
      </c>
      <c r="F196" s="3">
        <f>0</f>
        <v>0</v>
      </c>
      <c r="G196" s="3">
        <f>0</f>
        <v>0</v>
      </c>
      <c r="H196" s="3">
        <f t="shared" si="20"/>
        <v>0</v>
      </c>
      <c r="I196" s="3">
        <f>((528370+0+0)-(0+0))</f>
        <v>528370</v>
      </c>
    </row>
    <row r="197" spans="1:9" ht="14" x14ac:dyDescent="0.3">
      <c r="A197" s="2" t="s">
        <v>23</v>
      </c>
      <c r="B197" s="3">
        <f>23469</f>
        <v>23469</v>
      </c>
      <c r="C197" s="3">
        <f>0</f>
        <v>0</v>
      </c>
      <c r="D197" s="3">
        <f>0</f>
        <v>0</v>
      </c>
      <c r="E197" s="3">
        <f>(23469+0+0)</f>
        <v>23469</v>
      </c>
      <c r="F197" s="3">
        <f>0</f>
        <v>0</v>
      </c>
      <c r="G197" s="3">
        <f>0</f>
        <v>0</v>
      </c>
      <c r="H197" s="3">
        <f t="shared" si="20"/>
        <v>0</v>
      </c>
      <c r="I197" s="3">
        <f>((23469+0+0)-(0+0))</f>
        <v>23469</v>
      </c>
    </row>
    <row r="198" spans="1:9" ht="14" x14ac:dyDescent="0.3">
      <c r="A198" s="2" t="s">
        <v>24</v>
      </c>
      <c r="B198" s="3">
        <f>51241</f>
        <v>51241</v>
      </c>
      <c r="C198" s="3">
        <f>0</f>
        <v>0</v>
      </c>
      <c r="D198" s="3">
        <f>0</f>
        <v>0</v>
      </c>
      <c r="E198" s="3">
        <f>(51241+0+0)</f>
        <v>51241</v>
      </c>
      <c r="F198" s="3">
        <f>0</f>
        <v>0</v>
      </c>
      <c r="G198" s="3">
        <f>0</f>
        <v>0</v>
      </c>
      <c r="H198" s="3">
        <f t="shared" si="20"/>
        <v>0</v>
      </c>
      <c r="I198" s="3">
        <f>((51241+0+0)-(0+0))</f>
        <v>51241</v>
      </c>
    </row>
    <row r="199" spans="1:9" ht="14" x14ac:dyDescent="0.3">
      <c r="A199" s="2" t="s">
        <v>25</v>
      </c>
      <c r="B199" s="3">
        <f>207059</f>
        <v>207059</v>
      </c>
      <c r="C199" s="3">
        <f>0</f>
        <v>0</v>
      </c>
      <c r="D199" s="3">
        <f>0</f>
        <v>0</v>
      </c>
      <c r="E199" s="3">
        <f>(207059+0+0)</f>
        <v>207059</v>
      </c>
      <c r="F199" s="3">
        <f>0</f>
        <v>0</v>
      </c>
      <c r="G199" s="3">
        <f>0</f>
        <v>0</v>
      </c>
      <c r="H199" s="3">
        <f t="shared" si="20"/>
        <v>0</v>
      </c>
      <c r="I199" s="3">
        <f>((207059+0+0)-(0+0))</f>
        <v>207059</v>
      </c>
    </row>
    <row r="200" spans="1:9" ht="14" x14ac:dyDescent="0.3">
      <c r="A200" s="2" t="s">
        <v>26</v>
      </c>
      <c r="B200" s="3">
        <f>739488</f>
        <v>739488</v>
      </c>
      <c r="C200" s="3">
        <f>0</f>
        <v>0</v>
      </c>
      <c r="D200" s="3">
        <f>0</f>
        <v>0</v>
      </c>
      <c r="E200" s="3">
        <f>(739488+0+0)</f>
        <v>739488</v>
      </c>
      <c r="F200" s="3">
        <f>0</f>
        <v>0</v>
      </c>
      <c r="G200" s="3">
        <f>0</f>
        <v>0</v>
      </c>
      <c r="H200" s="3">
        <f t="shared" si="20"/>
        <v>0</v>
      </c>
      <c r="I200" s="3">
        <f>((739488+0+0)-(0+0))</f>
        <v>739488</v>
      </c>
    </row>
    <row r="201" spans="1:9" ht="14" x14ac:dyDescent="0.3">
      <c r="A201" s="5" t="s">
        <v>36</v>
      </c>
      <c r="B201" s="5"/>
      <c r="C201" s="5"/>
      <c r="D201" s="5"/>
      <c r="E201" s="5"/>
      <c r="F201" s="5"/>
      <c r="G201" s="5"/>
      <c r="H201" s="5"/>
      <c r="I201" s="5"/>
    </row>
    <row r="202" spans="1:9" ht="14" x14ac:dyDescent="0.3">
      <c r="A202" s="4" t="s">
        <v>1</v>
      </c>
      <c r="B202" s="1" t="s">
        <v>2</v>
      </c>
      <c r="C202" s="1" t="s">
        <v>3</v>
      </c>
      <c r="D202" s="1" t="s">
        <v>4</v>
      </c>
      <c r="E202" s="1" t="s">
        <v>5</v>
      </c>
      <c r="F202" s="1" t="s">
        <v>6</v>
      </c>
      <c r="G202" s="1" t="s">
        <v>7</v>
      </c>
      <c r="H202" s="1" t="s">
        <v>8</v>
      </c>
      <c r="I202" s="1" t="s">
        <v>9</v>
      </c>
    </row>
    <row r="203" spans="1:9" ht="14" x14ac:dyDescent="0.3">
      <c r="A203" s="4"/>
      <c r="B203" s="1">
        <v>2023</v>
      </c>
      <c r="C203" s="1">
        <v>2023</v>
      </c>
      <c r="D203" s="1">
        <v>2023</v>
      </c>
      <c r="E203" s="1">
        <v>2023</v>
      </c>
      <c r="F203" s="1">
        <v>2023</v>
      </c>
      <c r="G203" s="1">
        <v>2023</v>
      </c>
      <c r="H203" s="1">
        <v>2023</v>
      </c>
      <c r="I203" s="1">
        <v>2023</v>
      </c>
    </row>
    <row r="204" spans="1:9" ht="14" x14ac:dyDescent="0.3">
      <c r="A204" s="2" t="s">
        <v>10</v>
      </c>
      <c r="B204" s="3">
        <f>418616</f>
        <v>418616</v>
      </c>
      <c r="C204" s="3">
        <f>0</f>
        <v>0</v>
      </c>
      <c r="D204" s="3">
        <f>0</f>
        <v>0</v>
      </c>
      <c r="E204" s="3">
        <f>(418616+0+0)</f>
        <v>418616</v>
      </c>
      <c r="F204" s="3">
        <f>0</f>
        <v>0</v>
      </c>
      <c r="G204" s="3">
        <f>0</f>
        <v>0</v>
      </c>
      <c r="H204" s="3">
        <f t="shared" ref="H204:H214" si="21">(0+0)</f>
        <v>0</v>
      </c>
      <c r="I204" s="3">
        <f>((418616+0+0)-(0+0))</f>
        <v>418616</v>
      </c>
    </row>
    <row r="205" spans="1:9" ht="14" x14ac:dyDescent="0.3">
      <c r="A205" s="2" t="s">
        <v>11</v>
      </c>
      <c r="B205" s="3">
        <f>283867</f>
        <v>283867</v>
      </c>
      <c r="C205" s="3">
        <f>0</f>
        <v>0</v>
      </c>
      <c r="D205" s="3">
        <f>0</f>
        <v>0</v>
      </c>
      <c r="E205" s="3">
        <f>(283867+0+0)</f>
        <v>283867</v>
      </c>
      <c r="F205" s="3">
        <f>0</f>
        <v>0</v>
      </c>
      <c r="G205" s="3">
        <f>0</f>
        <v>0</v>
      </c>
      <c r="H205" s="3">
        <f t="shared" si="21"/>
        <v>0</v>
      </c>
      <c r="I205" s="3">
        <f>((283867+0+0)-(0+0))</f>
        <v>283867</v>
      </c>
    </row>
    <row r="206" spans="1:9" ht="14" x14ac:dyDescent="0.3">
      <c r="A206" s="2" t="s">
        <v>12</v>
      </c>
      <c r="B206" s="3">
        <f>126172</f>
        <v>126172</v>
      </c>
      <c r="C206" s="3">
        <f>0</f>
        <v>0</v>
      </c>
      <c r="D206" s="3">
        <f>0</f>
        <v>0</v>
      </c>
      <c r="E206" s="3">
        <f>(126172+0+0)</f>
        <v>126172</v>
      </c>
      <c r="F206" s="3">
        <f>0</f>
        <v>0</v>
      </c>
      <c r="G206" s="3">
        <f>0</f>
        <v>0</v>
      </c>
      <c r="H206" s="3">
        <f t="shared" si="21"/>
        <v>0</v>
      </c>
      <c r="I206" s="3">
        <f>((126172+0+0)-(0+0))</f>
        <v>126172</v>
      </c>
    </row>
    <row r="207" spans="1:9" ht="14" x14ac:dyDescent="0.3">
      <c r="A207" s="2" t="s">
        <v>13</v>
      </c>
      <c r="B207" s="3">
        <f>128196</f>
        <v>128196</v>
      </c>
      <c r="C207" s="3">
        <f>23224</f>
        <v>23224</v>
      </c>
      <c r="D207" s="3">
        <f>0</f>
        <v>0</v>
      </c>
      <c r="E207" s="3">
        <f>(128196+23224+0)</f>
        <v>151420</v>
      </c>
      <c r="F207" s="3">
        <f>0</f>
        <v>0</v>
      </c>
      <c r="G207" s="3">
        <f>0</f>
        <v>0</v>
      </c>
      <c r="H207" s="3">
        <f t="shared" si="21"/>
        <v>0</v>
      </c>
      <c r="I207" s="3">
        <f>((128196+23224+0)-(0+0))</f>
        <v>151420</v>
      </c>
    </row>
    <row r="208" spans="1:9" ht="14" x14ac:dyDescent="0.3">
      <c r="A208" s="2" t="s">
        <v>14</v>
      </c>
      <c r="B208" s="3">
        <f>11798912</f>
        <v>11798912</v>
      </c>
      <c r="C208" s="3">
        <f>0</f>
        <v>0</v>
      </c>
      <c r="D208" s="3">
        <f>0</f>
        <v>0</v>
      </c>
      <c r="E208" s="3">
        <f>(11798912+0+0)</f>
        <v>11798912</v>
      </c>
      <c r="F208" s="3">
        <f>0</f>
        <v>0</v>
      </c>
      <c r="G208" s="3">
        <f>0</f>
        <v>0</v>
      </c>
      <c r="H208" s="3">
        <f t="shared" si="21"/>
        <v>0</v>
      </c>
      <c r="I208" s="3">
        <f>((11798912+0+0)-(0+0))</f>
        <v>11798912</v>
      </c>
    </row>
    <row r="209" spans="1:9" ht="14" x14ac:dyDescent="0.3">
      <c r="A209" s="2" t="s">
        <v>15</v>
      </c>
      <c r="B209" s="3">
        <f>929876</f>
        <v>929876</v>
      </c>
      <c r="C209" s="3">
        <f>0</f>
        <v>0</v>
      </c>
      <c r="D209" s="3">
        <f>0</f>
        <v>0</v>
      </c>
      <c r="E209" s="3">
        <f>(929876+0+0)</f>
        <v>929876</v>
      </c>
      <c r="F209" s="3">
        <f>0</f>
        <v>0</v>
      </c>
      <c r="G209" s="3">
        <f>0</f>
        <v>0</v>
      </c>
      <c r="H209" s="3">
        <f t="shared" si="21"/>
        <v>0</v>
      </c>
      <c r="I209" s="3">
        <f>((929876+0+0)-(0+0))</f>
        <v>929876</v>
      </c>
    </row>
    <row r="210" spans="1:9" ht="14" x14ac:dyDescent="0.3">
      <c r="A210" s="2" t="s">
        <v>16</v>
      </c>
      <c r="B210" s="3">
        <f>1369220</f>
        <v>1369220</v>
      </c>
      <c r="C210" s="3">
        <f>0</f>
        <v>0</v>
      </c>
      <c r="D210" s="3">
        <f>0</f>
        <v>0</v>
      </c>
      <c r="E210" s="3">
        <f>(1369220+0+0)</f>
        <v>1369220</v>
      </c>
      <c r="F210" s="3">
        <f>0</f>
        <v>0</v>
      </c>
      <c r="G210" s="3">
        <f>0</f>
        <v>0</v>
      </c>
      <c r="H210" s="3">
        <f t="shared" si="21"/>
        <v>0</v>
      </c>
      <c r="I210" s="3">
        <f>((1369220+0+0)-(0+0))</f>
        <v>1369220</v>
      </c>
    </row>
    <row r="211" spans="1:9" ht="14" x14ac:dyDescent="0.3">
      <c r="A211" s="2" t="s">
        <v>17</v>
      </c>
      <c r="B211" s="3">
        <f>0</f>
        <v>0</v>
      </c>
      <c r="C211" s="3">
        <f>0</f>
        <v>0</v>
      </c>
      <c r="D211" s="3">
        <f>0</f>
        <v>0</v>
      </c>
      <c r="E211" s="3">
        <f>(0+0+0)</f>
        <v>0</v>
      </c>
      <c r="F211" s="3">
        <f>0</f>
        <v>0</v>
      </c>
      <c r="G211" s="3">
        <f>0</f>
        <v>0</v>
      </c>
      <c r="H211" s="3">
        <f t="shared" si="21"/>
        <v>0</v>
      </c>
      <c r="I211" s="3">
        <f>((0+0+0)-(0+0))</f>
        <v>0</v>
      </c>
    </row>
    <row r="212" spans="1:9" ht="14" x14ac:dyDescent="0.3">
      <c r="A212" s="2" t="s">
        <v>18</v>
      </c>
      <c r="B212" s="3">
        <f>377874</f>
        <v>377874</v>
      </c>
      <c r="C212" s="3">
        <f>0</f>
        <v>0</v>
      </c>
      <c r="D212" s="3">
        <f>0</f>
        <v>0</v>
      </c>
      <c r="E212" s="3">
        <f>(377874+0+0)</f>
        <v>377874</v>
      </c>
      <c r="F212" s="3">
        <f>0</f>
        <v>0</v>
      </c>
      <c r="G212" s="3">
        <f>0</f>
        <v>0</v>
      </c>
      <c r="H212" s="3">
        <f t="shared" si="21"/>
        <v>0</v>
      </c>
      <c r="I212" s="3">
        <f>((377874+0+0)-(0+0))</f>
        <v>377874</v>
      </c>
    </row>
    <row r="213" spans="1:9" ht="14" x14ac:dyDescent="0.3">
      <c r="A213" s="2" t="s">
        <v>19</v>
      </c>
      <c r="B213" s="3">
        <f>99711</f>
        <v>99711</v>
      </c>
      <c r="C213" s="3">
        <f>0</f>
        <v>0</v>
      </c>
      <c r="D213" s="3">
        <f>0</f>
        <v>0</v>
      </c>
      <c r="E213" s="3">
        <f>(99711+0+0)</f>
        <v>99711</v>
      </c>
      <c r="F213" s="3">
        <f>0</f>
        <v>0</v>
      </c>
      <c r="G213" s="3">
        <f>0</f>
        <v>0</v>
      </c>
      <c r="H213" s="3">
        <f t="shared" si="21"/>
        <v>0</v>
      </c>
      <c r="I213" s="3">
        <f>((99711+0+0)-(0+0))</f>
        <v>99711</v>
      </c>
    </row>
    <row r="214" spans="1:9" ht="14" x14ac:dyDescent="0.3">
      <c r="A214" s="2" t="s">
        <v>20</v>
      </c>
      <c r="B214" s="3">
        <f>165620</f>
        <v>165620</v>
      </c>
      <c r="C214" s="3">
        <f>0</f>
        <v>0</v>
      </c>
      <c r="D214" s="3">
        <f>0</f>
        <v>0</v>
      </c>
      <c r="E214" s="3">
        <f>(165620+0+0)</f>
        <v>165620</v>
      </c>
      <c r="F214" s="3">
        <f>0</f>
        <v>0</v>
      </c>
      <c r="G214" s="3">
        <f>0</f>
        <v>0</v>
      </c>
      <c r="H214" s="3">
        <f t="shared" si="21"/>
        <v>0</v>
      </c>
      <c r="I214" s="3">
        <f>((165620+0+0)-(0+0))</f>
        <v>165620</v>
      </c>
    </row>
    <row r="215" spans="1:9" ht="14" x14ac:dyDescent="0.3">
      <c r="A215" s="2" t="s">
        <v>21</v>
      </c>
      <c r="B215" s="3">
        <f>0</f>
        <v>0</v>
      </c>
      <c r="C215" s="3">
        <f>0</f>
        <v>0</v>
      </c>
      <c r="D215" s="3">
        <f>0</f>
        <v>0</v>
      </c>
      <c r="E215" s="3">
        <f>(0+0+0)</f>
        <v>0</v>
      </c>
      <c r="F215" s="3">
        <f>732657</f>
        <v>732657</v>
      </c>
      <c r="G215" s="3">
        <f>0</f>
        <v>0</v>
      </c>
      <c r="H215" s="3">
        <f>(732657+0)</f>
        <v>732657</v>
      </c>
      <c r="I215" s="3">
        <f>((0+0+0)-(732657+0))</f>
        <v>-732657</v>
      </c>
    </row>
    <row r="216" spans="1:9" ht="14" x14ac:dyDescent="0.3">
      <c r="A216" s="2" t="s">
        <v>22</v>
      </c>
      <c r="B216" s="3">
        <f>600715</f>
        <v>600715</v>
      </c>
      <c r="C216" s="3">
        <f>0</f>
        <v>0</v>
      </c>
      <c r="D216" s="3">
        <f>0</f>
        <v>0</v>
      </c>
      <c r="E216" s="3">
        <f>(600715+0+0)</f>
        <v>600715</v>
      </c>
      <c r="F216" s="3">
        <f>0</f>
        <v>0</v>
      </c>
      <c r="G216" s="3">
        <f>0</f>
        <v>0</v>
      </c>
      <c r="H216" s="3">
        <f>(0+0)</f>
        <v>0</v>
      </c>
      <c r="I216" s="3">
        <f>((600715+0+0)-(0+0))</f>
        <v>600715</v>
      </c>
    </row>
    <row r="217" spans="1:9" ht="14" x14ac:dyDescent="0.3">
      <c r="A217" s="2" t="s">
        <v>23</v>
      </c>
      <c r="B217" s="3">
        <f>198787</f>
        <v>198787</v>
      </c>
      <c r="C217" s="3">
        <f>0</f>
        <v>0</v>
      </c>
      <c r="D217" s="3">
        <f>0</f>
        <v>0</v>
      </c>
      <c r="E217" s="3">
        <f>(198787+0+0)</f>
        <v>198787</v>
      </c>
      <c r="F217" s="3">
        <f>0</f>
        <v>0</v>
      </c>
      <c r="G217" s="3">
        <f>0</f>
        <v>0</v>
      </c>
      <c r="H217" s="3">
        <f>(0+0)</f>
        <v>0</v>
      </c>
      <c r="I217" s="3">
        <f>((198787+0+0)-(0+0))</f>
        <v>198787</v>
      </c>
    </row>
    <row r="218" spans="1:9" ht="14" x14ac:dyDescent="0.3">
      <c r="A218" s="2" t="s">
        <v>24</v>
      </c>
      <c r="B218" s="3">
        <f>179838</f>
        <v>179838</v>
      </c>
      <c r="C218" s="3">
        <f>0</f>
        <v>0</v>
      </c>
      <c r="D218" s="3">
        <f>0</f>
        <v>0</v>
      </c>
      <c r="E218" s="3">
        <f>(179838+0+0)</f>
        <v>179838</v>
      </c>
      <c r="F218" s="3">
        <f>0</f>
        <v>0</v>
      </c>
      <c r="G218" s="3">
        <f>0</f>
        <v>0</v>
      </c>
      <c r="H218" s="3">
        <f>(0+0)</f>
        <v>0</v>
      </c>
      <c r="I218" s="3">
        <f>((179838+0+0)-(0+0))</f>
        <v>179838</v>
      </c>
    </row>
    <row r="219" spans="1:9" ht="14" x14ac:dyDescent="0.3">
      <c r="A219" s="2" t="s">
        <v>25</v>
      </c>
      <c r="B219" s="3">
        <f>317881</f>
        <v>317881</v>
      </c>
      <c r="C219" s="3">
        <f>0</f>
        <v>0</v>
      </c>
      <c r="D219" s="3">
        <f>0</f>
        <v>0</v>
      </c>
      <c r="E219" s="3">
        <f>(317881+0+0)</f>
        <v>317881</v>
      </c>
      <c r="F219" s="3">
        <f>0</f>
        <v>0</v>
      </c>
      <c r="G219" s="3">
        <f>0</f>
        <v>0</v>
      </c>
      <c r="H219" s="3">
        <f>(0+0)</f>
        <v>0</v>
      </c>
      <c r="I219" s="3">
        <f>((317881+0+0)-(0+0))</f>
        <v>317881</v>
      </c>
    </row>
    <row r="220" spans="1:9" ht="14" x14ac:dyDescent="0.3">
      <c r="A220" s="2" t="s">
        <v>26</v>
      </c>
      <c r="B220" s="3">
        <f>598733</f>
        <v>598733</v>
      </c>
      <c r="C220" s="3">
        <f>0</f>
        <v>0</v>
      </c>
      <c r="D220" s="3">
        <f>0</f>
        <v>0</v>
      </c>
      <c r="E220" s="3">
        <f>(598733+0+0)</f>
        <v>598733</v>
      </c>
      <c r="F220" s="3">
        <f>0</f>
        <v>0</v>
      </c>
      <c r="G220" s="3">
        <f>0</f>
        <v>0</v>
      </c>
      <c r="H220" s="3">
        <f>(0+0)</f>
        <v>0</v>
      </c>
      <c r="I220" s="3">
        <f>((598733+0+0)-(0+0))</f>
        <v>598733</v>
      </c>
    </row>
    <row r="221" spans="1:9" ht="14" x14ac:dyDescent="0.3">
      <c r="A221" s="5" t="s">
        <v>37</v>
      </c>
      <c r="B221" s="5"/>
      <c r="C221" s="5"/>
      <c r="D221" s="5"/>
      <c r="E221" s="5"/>
      <c r="F221" s="5"/>
      <c r="G221" s="5"/>
      <c r="H221" s="5"/>
      <c r="I221" s="5"/>
    </row>
    <row r="222" spans="1:9" ht="14" x14ac:dyDescent="0.3">
      <c r="A222" s="4" t="s">
        <v>1</v>
      </c>
      <c r="B222" s="1" t="s">
        <v>2</v>
      </c>
      <c r="C222" s="1" t="s">
        <v>3</v>
      </c>
      <c r="D222" s="1" t="s">
        <v>4</v>
      </c>
      <c r="E222" s="1" t="s">
        <v>5</v>
      </c>
      <c r="F222" s="1" t="s">
        <v>6</v>
      </c>
      <c r="G222" s="1" t="s">
        <v>7</v>
      </c>
      <c r="H222" s="1" t="s">
        <v>8</v>
      </c>
      <c r="I222" s="1" t="s">
        <v>9</v>
      </c>
    </row>
    <row r="223" spans="1:9" ht="14" x14ac:dyDescent="0.3">
      <c r="A223" s="4"/>
      <c r="B223" s="1">
        <v>2023</v>
      </c>
      <c r="C223" s="1">
        <v>2023</v>
      </c>
      <c r="D223" s="1">
        <v>2023</v>
      </c>
      <c r="E223" s="1">
        <v>2023</v>
      </c>
      <c r="F223" s="1">
        <v>2023</v>
      </c>
      <c r="G223" s="1">
        <v>2023</v>
      </c>
      <c r="H223" s="1">
        <v>2023</v>
      </c>
      <c r="I223" s="1">
        <v>2023</v>
      </c>
    </row>
    <row r="224" spans="1:9" ht="14" x14ac:dyDescent="0.3">
      <c r="A224" s="2" t="s">
        <v>10</v>
      </c>
      <c r="B224" s="3">
        <f>139539</f>
        <v>139539</v>
      </c>
      <c r="C224" s="3">
        <f>0</f>
        <v>0</v>
      </c>
      <c r="D224" s="3">
        <f>0</f>
        <v>0</v>
      </c>
      <c r="E224" s="3">
        <f>(139539+0+0)</f>
        <v>139539</v>
      </c>
      <c r="F224" s="3">
        <f>0</f>
        <v>0</v>
      </c>
      <c r="G224" s="3">
        <f>0</f>
        <v>0</v>
      </c>
      <c r="H224" s="3">
        <f t="shared" ref="H224:H240" si="22">(0+0)</f>
        <v>0</v>
      </c>
      <c r="I224" s="3">
        <f>((139539+0+0)-(0+0))</f>
        <v>139539</v>
      </c>
    </row>
    <row r="225" spans="1:9" ht="14" x14ac:dyDescent="0.3">
      <c r="A225" s="2" t="s">
        <v>11</v>
      </c>
      <c r="B225" s="3">
        <f>31843</f>
        <v>31843</v>
      </c>
      <c r="C225" s="3">
        <f>0</f>
        <v>0</v>
      </c>
      <c r="D225" s="3">
        <f>0</f>
        <v>0</v>
      </c>
      <c r="E225" s="3">
        <f>(31843+0+0)</f>
        <v>31843</v>
      </c>
      <c r="F225" s="3">
        <f>0</f>
        <v>0</v>
      </c>
      <c r="G225" s="3">
        <f>0</f>
        <v>0</v>
      </c>
      <c r="H225" s="3">
        <f t="shared" si="22"/>
        <v>0</v>
      </c>
      <c r="I225" s="3">
        <f>((31843+0+0)-(0+0))</f>
        <v>31843</v>
      </c>
    </row>
    <row r="226" spans="1:9" ht="14" x14ac:dyDescent="0.3">
      <c r="A226" s="2" t="s">
        <v>12</v>
      </c>
      <c r="B226" s="3">
        <f>172989</f>
        <v>172989</v>
      </c>
      <c r="C226" s="3">
        <f>0</f>
        <v>0</v>
      </c>
      <c r="D226" s="3">
        <f>0</f>
        <v>0</v>
      </c>
      <c r="E226" s="3">
        <f>(172989+0+0)</f>
        <v>172989</v>
      </c>
      <c r="F226" s="3">
        <f>0</f>
        <v>0</v>
      </c>
      <c r="G226" s="3">
        <f>0</f>
        <v>0</v>
      </c>
      <c r="H226" s="3">
        <f t="shared" si="22"/>
        <v>0</v>
      </c>
      <c r="I226" s="3">
        <f>((172989+0+0)-(0+0))</f>
        <v>172989</v>
      </c>
    </row>
    <row r="227" spans="1:9" ht="14" x14ac:dyDescent="0.3">
      <c r="A227" s="2" t="s">
        <v>13</v>
      </c>
      <c r="B227" s="3">
        <f>0</f>
        <v>0</v>
      </c>
      <c r="C227" s="3">
        <f>0</f>
        <v>0</v>
      </c>
      <c r="D227" s="3">
        <f>0</f>
        <v>0</v>
      </c>
      <c r="E227" s="3">
        <f>(0+0+0)</f>
        <v>0</v>
      </c>
      <c r="F227" s="3">
        <f>0</f>
        <v>0</v>
      </c>
      <c r="G227" s="3">
        <f>0</f>
        <v>0</v>
      </c>
      <c r="H227" s="3">
        <f t="shared" si="22"/>
        <v>0</v>
      </c>
      <c r="I227" s="3">
        <f>((0+0+0)-(0+0))</f>
        <v>0</v>
      </c>
    </row>
    <row r="228" spans="1:9" ht="14" x14ac:dyDescent="0.3">
      <c r="A228" s="2" t="s">
        <v>14</v>
      </c>
      <c r="B228" s="3">
        <f>1023813</f>
        <v>1023813</v>
      </c>
      <c r="C228" s="3">
        <f>0</f>
        <v>0</v>
      </c>
      <c r="D228" s="3">
        <f>0</f>
        <v>0</v>
      </c>
      <c r="E228" s="3">
        <f>(1023813+0+0)</f>
        <v>1023813</v>
      </c>
      <c r="F228" s="3">
        <f>0</f>
        <v>0</v>
      </c>
      <c r="G228" s="3">
        <f>0</f>
        <v>0</v>
      </c>
      <c r="H228" s="3">
        <f t="shared" si="22"/>
        <v>0</v>
      </c>
      <c r="I228" s="3">
        <f>((1023813+0+0)-(0+0))</f>
        <v>1023813</v>
      </c>
    </row>
    <row r="229" spans="1:9" ht="14" x14ac:dyDescent="0.3">
      <c r="A229" s="2" t="s">
        <v>15</v>
      </c>
      <c r="B229" s="3">
        <f>297981</f>
        <v>297981</v>
      </c>
      <c r="C229" s="3">
        <f>0</f>
        <v>0</v>
      </c>
      <c r="D229" s="3">
        <f>0</f>
        <v>0</v>
      </c>
      <c r="E229" s="3">
        <f>(297981+0+0)</f>
        <v>297981</v>
      </c>
      <c r="F229" s="3">
        <f>0</f>
        <v>0</v>
      </c>
      <c r="G229" s="3">
        <f>0</f>
        <v>0</v>
      </c>
      <c r="H229" s="3">
        <f t="shared" si="22"/>
        <v>0</v>
      </c>
      <c r="I229" s="3">
        <f>((297981+0+0)-(0+0))</f>
        <v>297981</v>
      </c>
    </row>
    <row r="230" spans="1:9" ht="14" x14ac:dyDescent="0.3">
      <c r="A230" s="2" t="s">
        <v>16</v>
      </c>
      <c r="B230" s="3">
        <f>1735155</f>
        <v>1735155</v>
      </c>
      <c r="C230" s="3">
        <f>0</f>
        <v>0</v>
      </c>
      <c r="D230" s="3">
        <f>0</f>
        <v>0</v>
      </c>
      <c r="E230" s="3">
        <f>(1735155+0+0)</f>
        <v>1735155</v>
      </c>
      <c r="F230" s="3">
        <f>0</f>
        <v>0</v>
      </c>
      <c r="G230" s="3">
        <f>0</f>
        <v>0</v>
      </c>
      <c r="H230" s="3">
        <f t="shared" si="22"/>
        <v>0</v>
      </c>
      <c r="I230" s="3">
        <f>((1735155+0+0)-(0+0))</f>
        <v>1735155</v>
      </c>
    </row>
    <row r="231" spans="1:9" ht="14" x14ac:dyDescent="0.3">
      <c r="A231" s="2" t="s">
        <v>17</v>
      </c>
      <c r="B231" s="3">
        <f>0</f>
        <v>0</v>
      </c>
      <c r="C231" s="3">
        <f>0</f>
        <v>0</v>
      </c>
      <c r="D231" s="3">
        <f>0</f>
        <v>0</v>
      </c>
      <c r="E231" s="3">
        <f>(0+0+0)</f>
        <v>0</v>
      </c>
      <c r="F231" s="3">
        <f>0</f>
        <v>0</v>
      </c>
      <c r="G231" s="3">
        <f>0</f>
        <v>0</v>
      </c>
      <c r="H231" s="3">
        <f t="shared" si="22"/>
        <v>0</v>
      </c>
      <c r="I231" s="3">
        <f>((0+0+0)-(0+0))</f>
        <v>0</v>
      </c>
    </row>
    <row r="232" spans="1:9" ht="14" x14ac:dyDescent="0.3">
      <c r="A232" s="2" t="s">
        <v>18</v>
      </c>
      <c r="B232" s="3">
        <f>0</f>
        <v>0</v>
      </c>
      <c r="C232" s="3">
        <f>0</f>
        <v>0</v>
      </c>
      <c r="D232" s="3">
        <f>0</f>
        <v>0</v>
      </c>
      <c r="E232" s="3">
        <f>(0+0+0)</f>
        <v>0</v>
      </c>
      <c r="F232" s="3">
        <f>0</f>
        <v>0</v>
      </c>
      <c r="G232" s="3">
        <f>0</f>
        <v>0</v>
      </c>
      <c r="H232" s="3">
        <f t="shared" si="22"/>
        <v>0</v>
      </c>
      <c r="I232" s="3">
        <f>((0+0+0)-(0+0))</f>
        <v>0</v>
      </c>
    </row>
    <row r="233" spans="1:9" ht="14" x14ac:dyDescent="0.3">
      <c r="A233" s="2" t="s">
        <v>19</v>
      </c>
      <c r="B233" s="3">
        <f>84462</f>
        <v>84462</v>
      </c>
      <c r="C233" s="3">
        <f>0</f>
        <v>0</v>
      </c>
      <c r="D233" s="3">
        <f>0</f>
        <v>0</v>
      </c>
      <c r="E233" s="3">
        <f>(84462+0+0)</f>
        <v>84462</v>
      </c>
      <c r="F233" s="3">
        <f>0</f>
        <v>0</v>
      </c>
      <c r="G233" s="3">
        <f>0</f>
        <v>0</v>
      </c>
      <c r="H233" s="3">
        <f t="shared" si="22"/>
        <v>0</v>
      </c>
      <c r="I233" s="3">
        <f>((84462+0+0)-(0+0))</f>
        <v>84462</v>
      </c>
    </row>
    <row r="234" spans="1:9" ht="14" x14ac:dyDescent="0.3">
      <c r="A234" s="2" t="s">
        <v>20</v>
      </c>
      <c r="B234" s="3">
        <f>16427</f>
        <v>16427</v>
      </c>
      <c r="C234" s="3">
        <f>0</f>
        <v>0</v>
      </c>
      <c r="D234" s="3">
        <f>0</f>
        <v>0</v>
      </c>
      <c r="E234" s="3">
        <f>(16427+0+0)</f>
        <v>16427</v>
      </c>
      <c r="F234" s="3">
        <f>0</f>
        <v>0</v>
      </c>
      <c r="G234" s="3">
        <f>0</f>
        <v>0</v>
      </c>
      <c r="H234" s="3">
        <f t="shared" si="22"/>
        <v>0</v>
      </c>
      <c r="I234" s="3">
        <f>((16427+0+0)-(0+0))</f>
        <v>16427</v>
      </c>
    </row>
    <row r="235" spans="1:9" ht="14" x14ac:dyDescent="0.3">
      <c r="A235" s="2" t="s">
        <v>21</v>
      </c>
      <c r="B235" s="3">
        <f>0</f>
        <v>0</v>
      </c>
      <c r="C235" s="3">
        <f>0</f>
        <v>0</v>
      </c>
      <c r="D235" s="3">
        <f>0</f>
        <v>0</v>
      </c>
      <c r="E235" s="3">
        <f>(0+0+0)</f>
        <v>0</v>
      </c>
      <c r="F235" s="3">
        <f>0</f>
        <v>0</v>
      </c>
      <c r="G235" s="3">
        <f>0</f>
        <v>0</v>
      </c>
      <c r="H235" s="3">
        <f t="shared" si="22"/>
        <v>0</v>
      </c>
      <c r="I235" s="3">
        <f>((0+0+0)-(0+0))</f>
        <v>0</v>
      </c>
    </row>
    <row r="236" spans="1:9" ht="14" x14ac:dyDescent="0.3">
      <c r="A236" s="2" t="s">
        <v>22</v>
      </c>
      <c r="B236" s="3">
        <f>1001285</f>
        <v>1001285</v>
      </c>
      <c r="C236" s="3">
        <f>0</f>
        <v>0</v>
      </c>
      <c r="D236" s="3">
        <f>0</f>
        <v>0</v>
      </c>
      <c r="E236" s="3">
        <f>(1001285+0+0)</f>
        <v>1001285</v>
      </c>
      <c r="F236" s="3">
        <f>0</f>
        <v>0</v>
      </c>
      <c r="G236" s="3">
        <f>0</f>
        <v>0</v>
      </c>
      <c r="H236" s="3">
        <f t="shared" si="22"/>
        <v>0</v>
      </c>
      <c r="I236" s="3">
        <f>((1001285+0+0)-(0+0))</f>
        <v>1001285</v>
      </c>
    </row>
    <row r="237" spans="1:9" ht="14" x14ac:dyDescent="0.3">
      <c r="A237" s="2" t="s">
        <v>23</v>
      </c>
      <c r="B237" s="3">
        <f>120975</f>
        <v>120975</v>
      </c>
      <c r="C237" s="3">
        <f>0</f>
        <v>0</v>
      </c>
      <c r="D237" s="3">
        <f>0</f>
        <v>0</v>
      </c>
      <c r="E237" s="3">
        <f>(120975+0+0)</f>
        <v>120975</v>
      </c>
      <c r="F237" s="3">
        <f>0</f>
        <v>0</v>
      </c>
      <c r="G237" s="3">
        <f>0</f>
        <v>0</v>
      </c>
      <c r="H237" s="3">
        <f t="shared" si="22"/>
        <v>0</v>
      </c>
      <c r="I237" s="3">
        <f>((120975+0+0)-(0+0))</f>
        <v>120975</v>
      </c>
    </row>
    <row r="238" spans="1:9" ht="14" x14ac:dyDescent="0.3">
      <c r="A238" s="2" t="s">
        <v>24</v>
      </c>
      <c r="B238" s="3">
        <f>151805</f>
        <v>151805</v>
      </c>
      <c r="C238" s="3">
        <f>0</f>
        <v>0</v>
      </c>
      <c r="D238" s="3">
        <f>0</f>
        <v>0</v>
      </c>
      <c r="E238" s="3">
        <f>(151805+0+0)</f>
        <v>151805</v>
      </c>
      <c r="F238" s="3">
        <f>0</f>
        <v>0</v>
      </c>
      <c r="G238" s="3">
        <f>0</f>
        <v>0</v>
      </c>
      <c r="H238" s="3">
        <f t="shared" si="22"/>
        <v>0</v>
      </c>
      <c r="I238" s="3">
        <f>((151805+0+0)-(0+0))</f>
        <v>151805</v>
      </c>
    </row>
    <row r="239" spans="1:9" ht="14" x14ac:dyDescent="0.3">
      <c r="A239" s="2" t="s">
        <v>25</v>
      </c>
      <c r="B239" s="3">
        <f>151142</f>
        <v>151142</v>
      </c>
      <c r="C239" s="3">
        <f>0</f>
        <v>0</v>
      </c>
      <c r="D239" s="3">
        <f>0</f>
        <v>0</v>
      </c>
      <c r="E239" s="3">
        <f>(151142+0+0)</f>
        <v>151142</v>
      </c>
      <c r="F239" s="3">
        <f>0</f>
        <v>0</v>
      </c>
      <c r="G239" s="3">
        <f>0</f>
        <v>0</v>
      </c>
      <c r="H239" s="3">
        <f t="shared" si="22"/>
        <v>0</v>
      </c>
      <c r="I239" s="3">
        <f>((151142+0+0)-(0+0))</f>
        <v>151142</v>
      </c>
    </row>
    <row r="240" spans="1:9" ht="14" x14ac:dyDescent="0.3">
      <c r="A240" s="2" t="s">
        <v>26</v>
      </c>
      <c r="B240" s="3">
        <f>1692735</f>
        <v>1692735</v>
      </c>
      <c r="C240" s="3">
        <f>0</f>
        <v>0</v>
      </c>
      <c r="D240" s="3">
        <f>0</f>
        <v>0</v>
      </c>
      <c r="E240" s="3">
        <f>(1692735+0+0)</f>
        <v>1692735</v>
      </c>
      <c r="F240" s="3">
        <f>0</f>
        <v>0</v>
      </c>
      <c r="G240" s="3">
        <f>0</f>
        <v>0</v>
      </c>
      <c r="H240" s="3">
        <f t="shared" si="22"/>
        <v>0</v>
      </c>
      <c r="I240" s="3">
        <f>((1692735+0+0)-(0+0))</f>
        <v>1692735</v>
      </c>
    </row>
    <row r="241" spans="1:9" ht="14" x14ac:dyDescent="0.3">
      <c r="A241" s="5" t="s">
        <v>38</v>
      </c>
      <c r="B241" s="5"/>
      <c r="C241" s="5"/>
      <c r="D241" s="5"/>
      <c r="E241" s="5"/>
      <c r="F241" s="5"/>
      <c r="G241" s="5"/>
      <c r="H241" s="5"/>
      <c r="I241" s="5"/>
    </row>
    <row r="242" spans="1:9" ht="14" x14ac:dyDescent="0.3">
      <c r="A242" s="4" t="s">
        <v>1</v>
      </c>
      <c r="B242" s="1" t="s">
        <v>2</v>
      </c>
      <c r="C242" s="1" t="s">
        <v>3</v>
      </c>
      <c r="D242" s="1" t="s">
        <v>4</v>
      </c>
      <c r="E242" s="1" t="s">
        <v>5</v>
      </c>
      <c r="F242" s="1" t="s">
        <v>6</v>
      </c>
      <c r="G242" s="1" t="s">
        <v>7</v>
      </c>
      <c r="H242" s="1" t="s">
        <v>8</v>
      </c>
      <c r="I242" s="1" t="s">
        <v>9</v>
      </c>
    </row>
    <row r="243" spans="1:9" ht="14" x14ac:dyDescent="0.3">
      <c r="A243" s="4"/>
      <c r="B243" s="1">
        <v>2023</v>
      </c>
      <c r="C243" s="1">
        <v>2023</v>
      </c>
      <c r="D243" s="1">
        <v>2023</v>
      </c>
      <c r="E243" s="1">
        <v>2023</v>
      </c>
      <c r="F243" s="1">
        <v>2023</v>
      </c>
      <c r="G243" s="1">
        <v>2023</v>
      </c>
      <c r="H243" s="1">
        <v>2023</v>
      </c>
      <c r="I243" s="1">
        <v>2023</v>
      </c>
    </row>
    <row r="244" spans="1:9" ht="14" x14ac:dyDescent="0.3">
      <c r="A244" s="2" t="s">
        <v>10</v>
      </c>
      <c r="B244" s="3">
        <f>(0+139539)</f>
        <v>139539</v>
      </c>
      <c r="C244" s="3">
        <f t="shared" ref="C244:D260" si="23">(0+0)</f>
        <v>0</v>
      </c>
      <c r="D244" s="3">
        <f t="shared" si="23"/>
        <v>0</v>
      </c>
      <c r="E244" s="3">
        <f>((0+139539)+(0+0)+(0+0))</f>
        <v>139539</v>
      </c>
      <c r="F244" s="3">
        <f t="shared" ref="F244:G260" si="24">(0+0)</f>
        <v>0</v>
      </c>
      <c r="G244" s="3">
        <f t="shared" si="24"/>
        <v>0</v>
      </c>
      <c r="H244" s="3">
        <f t="shared" ref="H244:H260" si="25">((0+0)+(0+0))</f>
        <v>0</v>
      </c>
      <c r="I244" s="3">
        <f>(((0+139539)+(0+0)+(0+0))-((0+0)+(0+0)))</f>
        <v>139539</v>
      </c>
    </row>
    <row r="245" spans="1:9" ht="14" x14ac:dyDescent="0.3">
      <c r="A245" s="2" t="s">
        <v>11</v>
      </c>
      <c r="B245" s="3">
        <f>(1231545+31843)</f>
        <v>1263388</v>
      </c>
      <c r="C245" s="3">
        <f t="shared" si="23"/>
        <v>0</v>
      </c>
      <c r="D245" s="3">
        <f t="shared" si="23"/>
        <v>0</v>
      </c>
      <c r="E245" s="3">
        <f>((1231545+31843)+(0+0)+(0+0))</f>
        <v>1263388</v>
      </c>
      <c r="F245" s="3">
        <f t="shared" si="24"/>
        <v>0</v>
      </c>
      <c r="G245" s="3">
        <f t="shared" si="24"/>
        <v>0</v>
      </c>
      <c r="H245" s="3">
        <f t="shared" si="25"/>
        <v>0</v>
      </c>
      <c r="I245" s="3">
        <f>(((1231545+31843)+(0+0)+(0+0))-((0+0)+(0+0)))</f>
        <v>1263388</v>
      </c>
    </row>
    <row r="246" spans="1:9" ht="14" x14ac:dyDescent="0.3">
      <c r="A246" s="2" t="s">
        <v>12</v>
      </c>
      <c r="B246" s="3">
        <f>(21831+172989)</f>
        <v>194820</v>
      </c>
      <c r="C246" s="3">
        <f t="shared" si="23"/>
        <v>0</v>
      </c>
      <c r="D246" s="3">
        <f t="shared" si="23"/>
        <v>0</v>
      </c>
      <c r="E246" s="3">
        <f>((21831+172989)+(0+0)+(0+0))</f>
        <v>194820</v>
      </c>
      <c r="F246" s="3">
        <f t="shared" si="24"/>
        <v>0</v>
      </c>
      <c r="G246" s="3">
        <f t="shared" si="24"/>
        <v>0</v>
      </c>
      <c r="H246" s="3">
        <f t="shared" si="25"/>
        <v>0</v>
      </c>
      <c r="I246" s="3">
        <f>(((21831+172989)+(0+0)+(0+0))-((0+0)+(0+0)))</f>
        <v>194820</v>
      </c>
    </row>
    <row r="247" spans="1:9" ht="14" x14ac:dyDescent="0.3">
      <c r="A247" s="2" t="s">
        <v>13</v>
      </c>
      <c r="B247" s="3">
        <f>(0+0)</f>
        <v>0</v>
      </c>
      <c r="C247" s="3">
        <f t="shared" si="23"/>
        <v>0</v>
      </c>
      <c r="D247" s="3">
        <f t="shared" si="23"/>
        <v>0</v>
      </c>
      <c r="E247" s="3">
        <f>((0+0)+(0+0)+(0+0))</f>
        <v>0</v>
      </c>
      <c r="F247" s="3">
        <f t="shared" si="24"/>
        <v>0</v>
      </c>
      <c r="G247" s="3">
        <f t="shared" si="24"/>
        <v>0</v>
      </c>
      <c r="H247" s="3">
        <f t="shared" si="25"/>
        <v>0</v>
      </c>
      <c r="I247" s="3">
        <f>(((0+0)+(0+0)+(0+0))-((0+0)+(0+0)))</f>
        <v>0</v>
      </c>
    </row>
    <row r="248" spans="1:9" ht="14" x14ac:dyDescent="0.3">
      <c r="A248" s="2" t="s">
        <v>14</v>
      </c>
      <c r="B248" s="3">
        <f>(183902+1023813)</f>
        <v>1207715</v>
      </c>
      <c r="C248" s="3">
        <f t="shared" si="23"/>
        <v>0</v>
      </c>
      <c r="D248" s="3">
        <f t="shared" si="23"/>
        <v>0</v>
      </c>
      <c r="E248" s="3">
        <f>((183902+1023813)+(0+0)+(0+0))</f>
        <v>1207715</v>
      </c>
      <c r="F248" s="3">
        <f t="shared" si="24"/>
        <v>0</v>
      </c>
      <c r="G248" s="3">
        <f t="shared" si="24"/>
        <v>0</v>
      </c>
      <c r="H248" s="3">
        <f t="shared" si="25"/>
        <v>0</v>
      </c>
      <c r="I248" s="3">
        <f>(((183902+1023813)+(0+0)+(0+0))-((0+0)+(0+0)))</f>
        <v>1207715</v>
      </c>
    </row>
    <row r="249" spans="1:9" ht="14" x14ac:dyDescent="0.3">
      <c r="A249" s="2" t="s">
        <v>15</v>
      </c>
      <c r="B249" s="3">
        <f>(0+297981)</f>
        <v>297981</v>
      </c>
      <c r="C249" s="3">
        <f t="shared" si="23"/>
        <v>0</v>
      </c>
      <c r="D249" s="3">
        <f t="shared" si="23"/>
        <v>0</v>
      </c>
      <c r="E249" s="3">
        <f>((0+297981)+(0+0)+(0+0))</f>
        <v>297981</v>
      </c>
      <c r="F249" s="3">
        <f t="shared" si="24"/>
        <v>0</v>
      </c>
      <c r="G249" s="3">
        <f t="shared" si="24"/>
        <v>0</v>
      </c>
      <c r="H249" s="3">
        <f t="shared" si="25"/>
        <v>0</v>
      </c>
      <c r="I249" s="3">
        <f>(((0+297981)+(0+0)+(0+0))-((0+0)+(0+0)))</f>
        <v>297981</v>
      </c>
    </row>
    <row r="250" spans="1:9" ht="14" x14ac:dyDescent="0.3">
      <c r="A250" s="2" t="s">
        <v>16</v>
      </c>
      <c r="B250" s="3">
        <f>(277714+1735155)</f>
        <v>2012869</v>
      </c>
      <c r="C250" s="3">
        <f t="shared" si="23"/>
        <v>0</v>
      </c>
      <c r="D250" s="3">
        <f t="shared" si="23"/>
        <v>0</v>
      </c>
      <c r="E250" s="3">
        <f>((277714+1735155)+(0+0)+(0+0))</f>
        <v>2012869</v>
      </c>
      <c r="F250" s="3">
        <f t="shared" si="24"/>
        <v>0</v>
      </c>
      <c r="G250" s="3">
        <f t="shared" si="24"/>
        <v>0</v>
      </c>
      <c r="H250" s="3">
        <f t="shared" si="25"/>
        <v>0</v>
      </c>
      <c r="I250" s="3">
        <f>(((277714+1735155)+(0+0)+(0+0))-((0+0)+(0+0)))</f>
        <v>2012869</v>
      </c>
    </row>
    <row r="251" spans="1:9" ht="14" x14ac:dyDescent="0.3">
      <c r="A251" s="2" t="s">
        <v>17</v>
      </c>
      <c r="B251" s="3">
        <f>(0+0)</f>
        <v>0</v>
      </c>
      <c r="C251" s="3">
        <f t="shared" si="23"/>
        <v>0</v>
      </c>
      <c r="D251" s="3">
        <f t="shared" si="23"/>
        <v>0</v>
      </c>
      <c r="E251" s="3">
        <f>((0+0)+(0+0)+(0+0))</f>
        <v>0</v>
      </c>
      <c r="F251" s="3">
        <f t="shared" si="24"/>
        <v>0</v>
      </c>
      <c r="G251" s="3">
        <f t="shared" si="24"/>
        <v>0</v>
      </c>
      <c r="H251" s="3">
        <f t="shared" si="25"/>
        <v>0</v>
      </c>
      <c r="I251" s="3">
        <f>(((0+0)+(0+0)+(0+0))-((0+0)+(0+0)))</f>
        <v>0</v>
      </c>
    </row>
    <row r="252" spans="1:9" ht="14" x14ac:dyDescent="0.3">
      <c r="A252" s="2" t="s">
        <v>18</v>
      </c>
      <c r="B252" s="3">
        <f>(0+0)</f>
        <v>0</v>
      </c>
      <c r="C252" s="3">
        <f t="shared" si="23"/>
        <v>0</v>
      </c>
      <c r="D252" s="3">
        <f t="shared" si="23"/>
        <v>0</v>
      </c>
      <c r="E252" s="3">
        <f>((0+0)+(0+0)+(0+0))</f>
        <v>0</v>
      </c>
      <c r="F252" s="3">
        <f t="shared" si="24"/>
        <v>0</v>
      </c>
      <c r="G252" s="3">
        <f t="shared" si="24"/>
        <v>0</v>
      </c>
      <c r="H252" s="3">
        <f t="shared" si="25"/>
        <v>0</v>
      </c>
      <c r="I252" s="3">
        <f>(((0+0)+(0+0)+(0+0))-((0+0)+(0+0)))</f>
        <v>0</v>
      </c>
    </row>
    <row r="253" spans="1:9" ht="14" x14ac:dyDescent="0.3">
      <c r="A253" s="2" t="s">
        <v>19</v>
      </c>
      <c r="B253" s="3">
        <f>(478618+84462)</f>
        <v>563080</v>
      </c>
      <c r="C253" s="3">
        <f t="shared" si="23"/>
        <v>0</v>
      </c>
      <c r="D253" s="3">
        <f t="shared" si="23"/>
        <v>0</v>
      </c>
      <c r="E253" s="3">
        <f>((478618+84462)+(0+0)+(0+0))</f>
        <v>563080</v>
      </c>
      <c r="F253" s="3">
        <f t="shared" si="24"/>
        <v>0</v>
      </c>
      <c r="G253" s="3">
        <f t="shared" si="24"/>
        <v>0</v>
      </c>
      <c r="H253" s="3">
        <f t="shared" si="25"/>
        <v>0</v>
      </c>
      <c r="I253" s="3">
        <f>(((478618+84462)+(0+0)+(0+0))-((0+0)+(0+0)))</f>
        <v>563080</v>
      </c>
    </row>
    <row r="254" spans="1:9" ht="14" x14ac:dyDescent="0.3">
      <c r="A254" s="2" t="s">
        <v>20</v>
      </c>
      <c r="B254" s="3">
        <f>(133502+16427)</f>
        <v>149929</v>
      </c>
      <c r="C254" s="3">
        <f t="shared" si="23"/>
        <v>0</v>
      </c>
      <c r="D254" s="3">
        <f t="shared" si="23"/>
        <v>0</v>
      </c>
      <c r="E254" s="3">
        <f>((133502+16427)+(0+0)+(0+0))</f>
        <v>149929</v>
      </c>
      <c r="F254" s="3">
        <f t="shared" si="24"/>
        <v>0</v>
      </c>
      <c r="G254" s="3">
        <f t="shared" si="24"/>
        <v>0</v>
      </c>
      <c r="H254" s="3">
        <f t="shared" si="25"/>
        <v>0</v>
      </c>
      <c r="I254" s="3">
        <f>(((133502+16427)+(0+0)+(0+0))-((0+0)+(0+0)))</f>
        <v>149929</v>
      </c>
    </row>
    <row r="255" spans="1:9" ht="14" x14ac:dyDescent="0.3">
      <c r="A255" s="2" t="s">
        <v>21</v>
      </c>
      <c r="B255" s="3">
        <f>(0+0)</f>
        <v>0</v>
      </c>
      <c r="C255" s="3">
        <f t="shared" si="23"/>
        <v>0</v>
      </c>
      <c r="D255" s="3">
        <f t="shared" si="23"/>
        <v>0</v>
      </c>
      <c r="E255" s="3">
        <f>((0+0)+(0+0)+(0+0))</f>
        <v>0</v>
      </c>
      <c r="F255" s="3">
        <f t="shared" si="24"/>
        <v>0</v>
      </c>
      <c r="G255" s="3">
        <f t="shared" si="24"/>
        <v>0</v>
      </c>
      <c r="H255" s="3">
        <f t="shared" si="25"/>
        <v>0</v>
      </c>
      <c r="I255" s="3">
        <f>(((0+0)+(0+0)+(0+0))-((0+0)+(0+0)))</f>
        <v>0</v>
      </c>
    </row>
    <row r="256" spans="1:9" ht="14" x14ac:dyDescent="0.3">
      <c r="A256" s="2" t="s">
        <v>22</v>
      </c>
      <c r="B256" s="3">
        <f>(596856+1001285)</f>
        <v>1598141</v>
      </c>
      <c r="C256" s="3">
        <f t="shared" si="23"/>
        <v>0</v>
      </c>
      <c r="D256" s="3">
        <f t="shared" si="23"/>
        <v>0</v>
      </c>
      <c r="E256" s="3">
        <f>((596856+1001285)+(0+0)+(0+0))</f>
        <v>1598141</v>
      </c>
      <c r="F256" s="3">
        <f t="shared" si="24"/>
        <v>0</v>
      </c>
      <c r="G256" s="3">
        <f t="shared" si="24"/>
        <v>0</v>
      </c>
      <c r="H256" s="3">
        <f t="shared" si="25"/>
        <v>0</v>
      </c>
      <c r="I256" s="3">
        <f>(((596856+1001285)+(0+0)+(0+0))-((0+0)+(0+0)))</f>
        <v>1598141</v>
      </c>
    </row>
    <row r="257" spans="1:9" ht="14" x14ac:dyDescent="0.3">
      <c r="A257" s="2" t="s">
        <v>23</v>
      </c>
      <c r="B257" s="3">
        <f>(0+120975)</f>
        <v>120975</v>
      </c>
      <c r="C257" s="3">
        <f t="shared" si="23"/>
        <v>0</v>
      </c>
      <c r="D257" s="3">
        <f t="shared" si="23"/>
        <v>0</v>
      </c>
      <c r="E257" s="3">
        <f>((0+120975)+(0+0)+(0+0))</f>
        <v>120975</v>
      </c>
      <c r="F257" s="3">
        <f t="shared" si="24"/>
        <v>0</v>
      </c>
      <c r="G257" s="3">
        <f t="shared" si="24"/>
        <v>0</v>
      </c>
      <c r="H257" s="3">
        <f t="shared" si="25"/>
        <v>0</v>
      </c>
      <c r="I257" s="3">
        <f>(((0+120975)+(0+0)+(0+0))-((0+0)+(0+0)))</f>
        <v>120975</v>
      </c>
    </row>
    <row r="258" spans="1:9" ht="14" x14ac:dyDescent="0.3">
      <c r="A258" s="2" t="s">
        <v>24</v>
      </c>
      <c r="B258" s="3">
        <f>(28088+151805)</f>
        <v>179893</v>
      </c>
      <c r="C258" s="3">
        <f t="shared" si="23"/>
        <v>0</v>
      </c>
      <c r="D258" s="3">
        <f t="shared" si="23"/>
        <v>0</v>
      </c>
      <c r="E258" s="3">
        <f>((28088+151805)+(0+0)+(0+0))</f>
        <v>179893</v>
      </c>
      <c r="F258" s="3">
        <f t="shared" si="24"/>
        <v>0</v>
      </c>
      <c r="G258" s="3">
        <f t="shared" si="24"/>
        <v>0</v>
      </c>
      <c r="H258" s="3">
        <f t="shared" si="25"/>
        <v>0</v>
      </c>
      <c r="I258" s="3">
        <f>(((28088+151805)+(0+0)+(0+0))-((0+0)+(0+0)))</f>
        <v>179893</v>
      </c>
    </row>
    <row r="259" spans="1:9" ht="14" x14ac:dyDescent="0.3">
      <c r="A259" s="2" t="s">
        <v>25</v>
      </c>
      <c r="B259" s="3">
        <f>(12945+151142)</f>
        <v>164087</v>
      </c>
      <c r="C259" s="3">
        <f t="shared" si="23"/>
        <v>0</v>
      </c>
      <c r="D259" s="3">
        <f t="shared" si="23"/>
        <v>0</v>
      </c>
      <c r="E259" s="3">
        <f>((12945+151142)+(0+0)+(0+0))</f>
        <v>164087</v>
      </c>
      <c r="F259" s="3">
        <f t="shared" si="24"/>
        <v>0</v>
      </c>
      <c r="G259" s="3">
        <f t="shared" si="24"/>
        <v>0</v>
      </c>
      <c r="H259" s="3">
        <f t="shared" si="25"/>
        <v>0</v>
      </c>
      <c r="I259" s="3">
        <f>(((12945+151142)+(0+0)+(0+0))-((0+0)+(0+0)))</f>
        <v>164087</v>
      </c>
    </row>
    <row r="260" spans="1:9" ht="14" x14ac:dyDescent="0.3">
      <c r="A260" s="2" t="s">
        <v>26</v>
      </c>
      <c r="B260" s="3">
        <f>(657051+1692735)</f>
        <v>2349786</v>
      </c>
      <c r="C260" s="3">
        <f t="shared" si="23"/>
        <v>0</v>
      </c>
      <c r="D260" s="3">
        <f t="shared" si="23"/>
        <v>0</v>
      </c>
      <c r="E260" s="3">
        <f>((657051+1692735)+(0+0)+(0+0))</f>
        <v>2349786</v>
      </c>
      <c r="F260" s="3">
        <f t="shared" si="24"/>
        <v>0</v>
      </c>
      <c r="G260" s="3">
        <f t="shared" si="24"/>
        <v>0</v>
      </c>
      <c r="H260" s="3">
        <f t="shared" si="25"/>
        <v>0</v>
      </c>
      <c r="I260" s="3">
        <f>(((657051+1692735)+(0+0)+(0+0))-((0+0)+(0+0)))</f>
        <v>2349786</v>
      </c>
    </row>
  </sheetData>
  <mergeCells count="26">
    <mergeCell ref="A241:I241"/>
    <mergeCell ref="A242:A243"/>
    <mergeCell ref="A1:I1"/>
    <mergeCell ref="A21:I21"/>
    <mergeCell ref="A41:I41"/>
    <mergeCell ref="A61:I61"/>
    <mergeCell ref="A81:I81"/>
    <mergeCell ref="A101:I101"/>
    <mergeCell ref="A121:I121"/>
    <mergeCell ref="A141:I141"/>
    <mergeCell ref="A161:I161"/>
    <mergeCell ref="A122:A123"/>
    <mergeCell ref="A142:A143"/>
    <mergeCell ref="A162:A163"/>
    <mergeCell ref="A182:A183"/>
    <mergeCell ref="A202:A203"/>
    <mergeCell ref="A222:A223"/>
    <mergeCell ref="A181:I181"/>
    <mergeCell ref="A201:I201"/>
    <mergeCell ref="A221:I221"/>
    <mergeCell ref="A2:A3"/>
    <mergeCell ref="A22:A23"/>
    <mergeCell ref="A42:A43"/>
    <mergeCell ref="A62:A63"/>
    <mergeCell ref="A82:A83"/>
    <mergeCell ref="A102:A10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البيانات الوصفية </vt:lpstr>
      <vt:lpstr>المتغيرات</vt:lpstr>
      <vt:lpstr>Insurance Financials Search Rep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Mohammed Saud Ali Alfarsi</dc:creator>
  <cp:lastModifiedBy>Mohammed Saud Ali Alfarsi</cp:lastModifiedBy>
  <dcterms:created xsi:type="dcterms:W3CDTF">2025-05-28T06:39:19Z</dcterms:created>
  <dcterms:modified xsi:type="dcterms:W3CDTF">2025-05-28T06:39:19Z</dcterms:modified>
</cp:coreProperties>
</file>